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i unidad\TRABAJO\Datos\BACKUP_AINS\ADMONXLS\"/>
    </mc:Choice>
  </mc:AlternateContent>
  <bookViews>
    <workbookView xWindow="0" yWindow="0" windowWidth="15345" windowHeight="4545"/>
  </bookViews>
  <sheets>
    <sheet name="PERSONAL" sheetId="1" r:id="rId1"/>
    <sheet name="VALOR POR DIA" sheetId="3" r:id="rId2"/>
    <sheet name="SMMLV" sheetId="4" r:id="rId3"/>
    <sheet name="FMxRespnsbld" sheetId="5" r:id="rId4"/>
  </sheets>
  <definedNames>
    <definedName name="_xlnm.Print_Area" localSheetId="0">PERSONAL!$A$1:$S$29</definedName>
  </definedNames>
  <calcPr calcId="152511"/>
</workbook>
</file>

<file path=xl/calcChain.xml><?xml version="1.0" encoding="utf-8"?>
<calcChain xmlns="http://schemas.openxmlformats.org/spreadsheetml/2006/main">
  <c r="H23" i="1" l="1"/>
  <c r="H22" i="1"/>
  <c r="H21" i="1"/>
  <c r="H20" i="1"/>
  <c r="G23" i="1"/>
  <c r="G22" i="1"/>
  <c r="G21" i="1"/>
  <c r="G20" i="1"/>
  <c r="C5" i="4" l="1"/>
  <c r="C4" i="4"/>
  <c r="C3" i="4"/>
  <c r="C2" i="4"/>
  <c r="F23" i="1" l="1"/>
  <c r="F20" i="1"/>
  <c r="C10" i="4" l="1"/>
  <c r="C9" i="4"/>
  <c r="C8" i="4"/>
  <c r="C7" i="4"/>
  <c r="E23" i="1" l="1"/>
  <c r="E22" i="1"/>
  <c r="E21" i="1"/>
  <c r="E20" i="1"/>
  <c r="D8" i="1" l="1"/>
  <c r="C20" i="4"/>
  <c r="C14" i="4"/>
  <c r="C12" i="4"/>
  <c r="C17" i="4"/>
  <c r="B18" i="4"/>
  <c r="C13" i="4" s="1"/>
  <c r="C15" i="4"/>
  <c r="C22" i="4" l="1"/>
  <c r="C24" i="4"/>
  <c r="C25" i="4"/>
  <c r="C27" i="4"/>
  <c r="C29" i="4"/>
  <c r="C30" i="4"/>
  <c r="C32" i="4"/>
  <c r="C34" i="4"/>
  <c r="C35" i="4"/>
  <c r="C37" i="4"/>
  <c r="C39" i="4"/>
  <c r="C40" i="4"/>
  <c r="C42" i="4"/>
  <c r="C44" i="4"/>
  <c r="C45" i="4"/>
  <c r="C47" i="4"/>
  <c r="C49" i="4"/>
  <c r="C50" i="4"/>
  <c r="C52" i="4"/>
  <c r="C54" i="4"/>
  <c r="C55" i="4"/>
  <c r="C57" i="4"/>
  <c r="C58" i="4"/>
  <c r="C59" i="4"/>
  <c r="C60" i="4"/>
  <c r="C62" i="4"/>
  <c r="C63" i="4"/>
  <c r="C64" i="4"/>
  <c r="C65" i="4"/>
  <c r="C67" i="4"/>
  <c r="C68" i="4"/>
  <c r="C69" i="4"/>
  <c r="C70" i="4"/>
  <c r="C72" i="4"/>
  <c r="C73" i="4"/>
  <c r="C74" i="4"/>
  <c r="C75" i="4"/>
  <c r="C77" i="4"/>
  <c r="C78" i="4"/>
  <c r="C79" i="4"/>
  <c r="C80" i="4"/>
  <c r="C82" i="4"/>
  <c r="C84" i="4"/>
  <c r="C85" i="4"/>
  <c r="C87" i="4"/>
  <c r="C89" i="4"/>
  <c r="C90" i="4"/>
  <c r="C92" i="4"/>
  <c r="C94" i="4"/>
  <c r="C95" i="4"/>
  <c r="C97" i="4"/>
  <c r="C99" i="4"/>
  <c r="C100" i="4"/>
  <c r="C102" i="4"/>
  <c r="C104" i="4"/>
  <c r="C105" i="4"/>
  <c r="C107" i="4"/>
  <c r="C109" i="4"/>
  <c r="C110" i="4"/>
  <c r="C112" i="4"/>
  <c r="C113" i="4"/>
  <c r="C114" i="4"/>
  <c r="C115" i="4"/>
  <c r="C19" i="4"/>
  <c r="A10" i="3" l="1"/>
  <c r="B23" i="4"/>
  <c r="C18" i="4" l="1"/>
  <c r="G24" i="1"/>
  <c r="H24" i="1"/>
  <c r="E24" i="1"/>
  <c r="B28" i="4" l="1"/>
  <c r="C23" i="4" l="1"/>
  <c r="B33" i="4"/>
  <c r="C28" i="4" l="1"/>
  <c r="F21" i="1"/>
  <c r="F22" i="1"/>
  <c r="F24" i="1" l="1"/>
  <c r="B38" i="4"/>
  <c r="C33" i="4" l="1"/>
  <c r="B43" i="4"/>
  <c r="C38" i="4" l="1"/>
  <c r="G15" i="5"/>
  <c r="G7" i="5"/>
  <c r="G9" i="5"/>
  <c r="G10" i="5"/>
  <c r="G11" i="5"/>
  <c r="G12" i="5"/>
  <c r="G13" i="5"/>
  <c r="G14" i="5"/>
  <c r="G8" i="5"/>
  <c r="B48" i="4"/>
  <c r="C43" i="4" l="1"/>
  <c r="M8" i="1"/>
  <c r="B53" i="4"/>
  <c r="C53" i="4" s="1"/>
  <c r="C48" i="4" l="1"/>
  <c r="D15" i="1"/>
  <c r="M15" i="1" s="1"/>
  <c r="D14" i="1"/>
  <c r="M14" i="1" l="1"/>
  <c r="N14" i="1" s="1"/>
  <c r="E14" i="1"/>
  <c r="G14" i="1" s="1"/>
  <c r="N15" i="1"/>
  <c r="E15" i="1"/>
  <c r="G15" i="1" s="1"/>
  <c r="L15" i="1" l="1"/>
  <c r="K15" i="1"/>
  <c r="K14" i="1"/>
  <c r="L14" i="1"/>
  <c r="O15" i="1"/>
  <c r="P15" i="1"/>
  <c r="O14" i="1"/>
  <c r="P14" i="1"/>
  <c r="I15" i="1"/>
  <c r="H15" i="1"/>
  <c r="F15" i="1"/>
  <c r="I14" i="1"/>
  <c r="H14" i="1"/>
  <c r="F14" i="1"/>
  <c r="J14" i="1" s="1"/>
  <c r="B88" i="4"/>
  <c r="B93" i="4"/>
  <c r="B98" i="4"/>
  <c r="B103" i="4"/>
  <c r="B108" i="4"/>
  <c r="C108" i="4" s="1"/>
  <c r="C93" i="4" l="1"/>
  <c r="C88" i="4"/>
  <c r="C83" i="4"/>
  <c r="C103" i="4"/>
  <c r="C98" i="4"/>
  <c r="B5" i="3"/>
  <c r="J15" i="1"/>
  <c r="S14" i="1"/>
  <c r="Q14" i="1"/>
  <c r="R14" i="1"/>
  <c r="S15" i="1"/>
  <c r="Q15" i="1"/>
  <c r="R15" i="1"/>
  <c r="N8" i="1"/>
  <c r="O8" i="1" s="1"/>
  <c r="D11" i="1"/>
  <c r="D12" i="1"/>
  <c r="M12" i="1" s="1"/>
  <c r="D9" i="1"/>
  <c r="M9" i="1" s="1"/>
  <c r="E8" i="1"/>
  <c r="G8" i="1" s="1"/>
  <c r="D10" i="1"/>
  <c r="M10" i="1" s="1"/>
  <c r="D16" i="1"/>
  <c r="D13" i="1"/>
  <c r="M13" i="1" s="1"/>
  <c r="F8" i="1" l="1"/>
  <c r="B4" i="3" s="1"/>
  <c r="M16" i="1"/>
  <c r="N16" i="1" s="1"/>
  <c r="M11" i="1"/>
  <c r="N11" i="1" s="1"/>
  <c r="P11" i="1" s="1"/>
  <c r="N10" i="1"/>
  <c r="P10" i="1" s="1"/>
  <c r="N12" i="1"/>
  <c r="P12" i="1" s="1"/>
  <c r="S12" i="1" s="1"/>
  <c r="E9" i="1"/>
  <c r="E11" i="1"/>
  <c r="G11" i="1" s="1"/>
  <c r="E13" i="1"/>
  <c r="G13" i="1" s="1"/>
  <c r="E12" i="1"/>
  <c r="G12" i="1" s="1"/>
  <c r="I8" i="1"/>
  <c r="N9" i="1"/>
  <c r="O9" i="1" s="1"/>
  <c r="P8" i="1"/>
  <c r="R8" i="1" s="1"/>
  <c r="E16" i="1"/>
  <c r="G16" i="1" s="1"/>
  <c r="E10" i="1"/>
  <c r="N13" i="1"/>
  <c r="O12" i="1" l="1"/>
  <c r="H8" i="1"/>
  <c r="L8" i="1"/>
  <c r="K8" i="1"/>
  <c r="G10" i="1"/>
  <c r="K10" i="1" s="1"/>
  <c r="G9" i="1"/>
  <c r="K9" i="1" s="1"/>
  <c r="J8" i="1"/>
  <c r="K12" i="1"/>
  <c r="L12" i="1"/>
  <c r="K16" i="1"/>
  <c r="L16" i="1"/>
  <c r="H13" i="1"/>
  <c r="L13" i="1"/>
  <c r="K13" i="1"/>
  <c r="L11" i="1"/>
  <c r="K11" i="1"/>
  <c r="Q11" i="1"/>
  <c r="R11" i="1"/>
  <c r="S11" i="1"/>
  <c r="I13" i="1"/>
  <c r="O11" i="1"/>
  <c r="Q8" i="1"/>
  <c r="I11" i="1"/>
  <c r="F11" i="1"/>
  <c r="J11" i="1" s="1"/>
  <c r="H11" i="1"/>
  <c r="H12" i="1"/>
  <c r="R12" i="1"/>
  <c r="Q12" i="1"/>
  <c r="F13" i="1"/>
  <c r="J13" i="1" s="1"/>
  <c r="F12" i="1"/>
  <c r="J12" i="1" s="1"/>
  <c r="I12" i="1"/>
  <c r="S8" i="1"/>
  <c r="P9" i="1"/>
  <c r="O10" i="1"/>
  <c r="P16" i="1"/>
  <c r="O16" i="1"/>
  <c r="O13" i="1"/>
  <c r="P13" i="1"/>
  <c r="H16" i="1"/>
  <c r="F16" i="1"/>
  <c r="J16" i="1" s="1"/>
  <c r="I16" i="1"/>
  <c r="F9" i="1" l="1"/>
  <c r="J9" i="1" s="1"/>
  <c r="L9" i="1"/>
  <c r="H9" i="1"/>
  <c r="I9" i="1"/>
  <c r="H10" i="1"/>
  <c r="I10" i="1"/>
  <c r="L10" i="1"/>
  <c r="F10" i="1"/>
  <c r="J10" i="1" s="1"/>
  <c r="F4" i="3"/>
  <c r="J5" i="3"/>
  <c r="K5" i="3" s="1"/>
  <c r="F5" i="3"/>
  <c r="B6" i="3"/>
  <c r="J4" i="3"/>
  <c r="K4" i="3" s="1"/>
  <c r="S9" i="1"/>
  <c r="R9" i="1"/>
  <c r="Q9" i="1"/>
  <c r="R13" i="1"/>
  <c r="S13" i="1"/>
  <c r="Q13" i="1"/>
  <c r="Q10" i="1"/>
  <c r="S10" i="1"/>
  <c r="R10" i="1"/>
  <c r="Q16" i="1"/>
  <c r="S16" i="1"/>
  <c r="R16" i="1"/>
  <c r="J6" i="3" l="1"/>
  <c r="K6" i="3" s="1"/>
  <c r="F6" i="3"/>
</calcChain>
</file>

<file path=xl/comments1.xml><?xml version="1.0" encoding="utf-8"?>
<comments xmlns="http://schemas.openxmlformats.org/spreadsheetml/2006/main">
  <authors>
    <author>alba.naranjo</author>
  </authors>
  <commentList>
    <comment ref="N18" authorId="0" shapeId="0">
      <text>
        <r>
          <rPr>
            <b/>
            <sz val="9"/>
            <color indexed="81"/>
            <rFont val="Tahoma"/>
            <family val="2"/>
          </rPr>
          <t>alba.naranjo:</t>
        </r>
        <r>
          <rPr>
            <sz val="9"/>
            <color indexed="81"/>
            <rFont val="Tahoma"/>
            <family val="2"/>
          </rPr>
          <t xml:space="preserve">
Este valor se afecta por el  porcentaje que determine la empresa para aumentar tarifas, adicional al incremento del  salario mínimo
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</rPr>
          <t>alba.naranjo:</t>
        </r>
        <r>
          <rPr>
            <sz val="9"/>
            <color indexed="81"/>
            <rFont val="Tahoma"/>
            <family val="2"/>
          </rPr>
          <t xml:space="preserve">
TRM promedio esperada para el 2024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alba.naranjo:</t>
        </r>
        <r>
          <rPr>
            <sz val="9"/>
            <color indexed="81"/>
            <rFont val="Tahoma"/>
            <family val="2"/>
          </rPr>
          <t xml:space="preserve">
Se emparejó valor de almuerzo y comida</t>
        </r>
      </text>
    </comment>
  </commentList>
</comments>
</file>

<file path=xl/sharedStrings.xml><?xml version="1.0" encoding="utf-8"?>
<sst xmlns="http://schemas.openxmlformats.org/spreadsheetml/2006/main" count="206" uniqueCount="74">
  <si>
    <t xml:space="preserve">AÑOS DE </t>
  </si>
  <si>
    <t>SALARIO</t>
  </si>
  <si>
    <t>EXPERIENCIA</t>
  </si>
  <si>
    <t>PERSONAL PROFESIONAL</t>
  </si>
  <si>
    <t>COTIZACIÓN</t>
  </si>
  <si>
    <t>FACTORADO</t>
  </si>
  <si>
    <t>VALOR</t>
  </si>
  <si>
    <t>HORA</t>
  </si>
  <si>
    <t>DÍA</t>
  </si>
  <si>
    <t>(USD$)</t>
  </si>
  <si>
    <t>(COP$)</t>
  </si>
  <si>
    <t>Concepto</t>
  </si>
  <si>
    <t>HED</t>
  </si>
  <si>
    <t>HEN</t>
  </si>
  <si>
    <t>USD$/Día</t>
  </si>
  <si>
    <t>(SMMLV)</t>
  </si>
  <si>
    <t>Desayuno</t>
  </si>
  <si>
    <t>Almuerzo</t>
  </si>
  <si>
    <t>Comida</t>
  </si>
  <si>
    <t>TOTAL VIÁTICO DIARIO</t>
  </si>
  <si>
    <t>SUB. TRNSP</t>
  </si>
  <si>
    <t>COP$/día</t>
  </si>
  <si>
    <t>COP$/Día</t>
  </si>
  <si>
    <t>OJO si se cotiza solamente un auxiliar se cobrarán por día</t>
  </si>
  <si>
    <t>Agregar costos directos</t>
  </si>
  <si>
    <t>Total pareja/día</t>
  </si>
  <si>
    <t>QUOTATION</t>
  </si>
  <si>
    <t>WAGE</t>
  </si>
  <si>
    <t>FACTORED</t>
  </si>
  <si>
    <t>DAY</t>
  </si>
  <si>
    <t>PRICE</t>
  </si>
  <si>
    <t>HOUR</t>
  </si>
  <si>
    <t>OVERTIME</t>
  </si>
  <si>
    <t>DIURNAL</t>
  </si>
  <si>
    <t>NOCTURNAL</t>
  </si>
  <si>
    <t>HOLIDAY</t>
  </si>
  <si>
    <t>AUXILIAR DE INGENIERÍA</t>
  </si>
  <si>
    <t>ESCALAFÓN ACIEM</t>
  </si>
  <si>
    <t>%</t>
  </si>
  <si>
    <t>COP/USD Ene</t>
  </si>
  <si>
    <t>SMMLV</t>
  </si>
  <si>
    <t>USD$</t>
  </si>
  <si>
    <t>COSTOS DE PERSONAL POR DÍA ORDINARIO</t>
  </si>
  <si>
    <t>Ingeniero 6</t>
  </si>
  <si>
    <t>Ingeniero 4</t>
  </si>
  <si>
    <t>Valor Mínimo</t>
  </si>
  <si>
    <t>Auxiliar</t>
  </si>
  <si>
    <t>Ingeniero  1</t>
  </si>
  <si>
    <t>Valor premium</t>
  </si>
  <si>
    <t>Según el Manual de Referencia de Tarifas para la Contratación de Servicios Profesionales de Ingeniería en Colombia - ACIEM 2008</t>
  </si>
  <si>
    <t>Ingeniero 8</t>
  </si>
  <si>
    <t>GERS</t>
  </si>
  <si>
    <t>ACIEM</t>
  </si>
  <si>
    <t xml:space="preserve">Multiplicador por </t>
  </si>
  <si>
    <t>nivel de responsabilidad</t>
  </si>
  <si>
    <t>Con Fact Resp</t>
  </si>
  <si>
    <t>Sin Fact Resp</t>
  </si>
  <si>
    <t>Sección 1.1.1 pág 5</t>
  </si>
  <si>
    <t>Sección 1.1.3 pág 9</t>
  </si>
  <si>
    <t>Sección 1.1.3 pág 10</t>
  </si>
  <si>
    <t xml:space="preserve">VIÁTICOS </t>
  </si>
  <si>
    <t>HEDF</t>
  </si>
  <si>
    <t>HENF</t>
  </si>
  <si>
    <t>HF</t>
  </si>
  <si>
    <t>TOPES A RECONOCER</t>
  </si>
  <si>
    <t>∆</t>
  </si>
  <si>
    <t>Auxiliar de ingeniería</t>
  </si>
  <si>
    <t>Suplemento por noche</t>
  </si>
  <si>
    <t xml:space="preserve"> GASTOS CONTRA PRESENTACIÓN DE FACTURAS</t>
  </si>
  <si>
    <t>BASE</t>
  </si>
  <si>
    <t>% Incremento viáticos</t>
  </si>
  <si>
    <t>COP/USD Promedio</t>
  </si>
  <si>
    <t xml:space="preserve"> bueno</t>
  </si>
  <si>
    <t>TARIFAS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</si>
</sst>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164" formatCode="_(&quot;C$&quot;* #,##0.00_);_(&quot;C$&quot;* \(#,##0.00\);_(&quot;C$&quot;* &quot;-&quot;??_);_(@_)"/>
    <numFmt numFmtId="165" formatCode="[$$-409]#,##0"/>
    <numFmt numFmtId="166" formatCode="[$$-80A]#,##0"/>
    <numFmt numFmtId="167" formatCode="&quot;$&quot;\ #,##0"/>
    <numFmt numFmtId="168" formatCode="0.0"/>
    <numFmt numFmtId="169" formatCode="0.0000"/>
  </numFmts>
  <fonts count="31" x14ac:knownFonts="1">
    <font>
      <sz val="10"/>
      <name val="Arial"/>
    </font>
    <font>
      <sz val="10"/>
      <name val="Arial"/>
      <family val="2"/>
    </font>
    <font>
      <b/>
      <sz val="14"/>
      <color indexed="8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5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sz val="28"/>
      <color rgb="FF002060"/>
      <name val="Arial"/>
      <family val="2"/>
    </font>
    <font>
      <b/>
      <sz val="24"/>
      <color rgb="FF002060"/>
      <name val="Arial"/>
      <family val="2"/>
    </font>
    <font>
      <sz val="24"/>
      <color rgb="FF002060"/>
      <name val="Arial"/>
      <family val="2"/>
    </font>
    <font>
      <b/>
      <sz val="22"/>
      <color rgb="FF002060"/>
      <name val="Arial"/>
      <family val="2"/>
    </font>
    <font>
      <b/>
      <sz val="20"/>
      <color rgb="FF002060"/>
      <name val="Arial"/>
      <family val="2"/>
    </font>
    <font>
      <sz val="20"/>
      <color rgb="FF00206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NumberFormat="0" applyFont="0" applyFill="0" applyBorder="0" applyAlignment="0" applyProtection="0"/>
    <xf numFmtId="37" fontId="3" fillId="0" borderId="0"/>
    <xf numFmtId="9" fontId="20" fillId="0" borderId="0" applyFont="0" applyFill="0" applyBorder="0" applyAlignment="0" applyProtection="0"/>
    <xf numFmtId="42" fontId="28" fillId="0" borderId="0" applyFont="0" applyFill="0" applyBorder="0" applyAlignment="0" applyProtection="0"/>
  </cellStyleXfs>
  <cellXfs count="186">
    <xf numFmtId="0" fontId="0" fillId="0" borderId="0" xfId="0"/>
    <xf numFmtId="37" fontId="5" fillId="0" borderId="1" xfId="2" applyFont="1" applyFill="1" applyBorder="1" applyAlignment="1">
      <alignment horizontal="center"/>
    </xf>
    <xf numFmtId="37" fontId="2" fillId="2" borderId="3" xfId="2" applyFont="1" applyFill="1" applyBorder="1" applyAlignment="1">
      <alignment horizontal="center"/>
    </xf>
    <xf numFmtId="37" fontId="8" fillId="2" borderId="4" xfId="2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37" fontId="2" fillId="2" borderId="0" xfId="2" applyFont="1" applyFill="1" applyBorder="1" applyAlignment="1">
      <alignment horizontal="center"/>
    </xf>
    <xf numFmtId="37" fontId="8" fillId="2" borderId="8" xfId="2" applyFont="1" applyFill="1" applyBorder="1" applyAlignment="1">
      <alignment horizontal="center"/>
    </xf>
    <xf numFmtId="37" fontId="5" fillId="0" borderId="5" xfId="2" applyFont="1" applyFill="1" applyBorder="1" applyAlignment="1">
      <alignment horizontal="center"/>
    </xf>
    <xf numFmtId="37" fontId="8" fillId="2" borderId="9" xfId="2" applyFont="1" applyFill="1" applyBorder="1" applyAlignment="1">
      <alignment horizontal="center"/>
    </xf>
    <xf numFmtId="37" fontId="5" fillId="0" borderId="10" xfId="2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165" fontId="5" fillId="0" borderId="11" xfId="0" applyNumberFormat="1" applyFont="1" applyFill="1" applyBorder="1" applyAlignment="1">
      <alignment horizontal="center"/>
    </xf>
    <xf numFmtId="165" fontId="5" fillId="0" borderId="12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right"/>
    </xf>
    <xf numFmtId="37" fontId="2" fillId="2" borderId="13" xfId="2" applyFont="1" applyFill="1" applyBorder="1" applyAlignment="1" applyProtection="1">
      <alignment horizontal="center"/>
    </xf>
    <xf numFmtId="165" fontId="5" fillId="0" borderId="14" xfId="0" applyNumberFormat="1" applyFont="1" applyFill="1" applyBorder="1" applyAlignment="1">
      <alignment horizontal="center"/>
    </xf>
    <xf numFmtId="37" fontId="4" fillId="2" borderId="13" xfId="2" applyFont="1" applyFill="1" applyBorder="1" applyAlignment="1" applyProtection="1">
      <alignment horizontal="left"/>
    </xf>
    <xf numFmtId="37" fontId="4" fillId="2" borderId="3" xfId="2" applyFont="1" applyFill="1" applyBorder="1" applyAlignment="1">
      <alignment horizontal="left"/>
    </xf>
    <xf numFmtId="37" fontId="4" fillId="2" borderId="13" xfId="2" applyFont="1" applyFill="1" applyBorder="1" applyAlignment="1" applyProtection="1"/>
    <xf numFmtId="37" fontId="4" fillId="2" borderId="3" xfId="2" applyFont="1" applyFill="1" applyBorder="1" applyAlignment="1"/>
    <xf numFmtId="37" fontId="4" fillId="2" borderId="15" xfId="2" applyFont="1" applyFill="1" applyBorder="1" applyAlignment="1" applyProtection="1">
      <alignment horizontal="left"/>
    </xf>
    <xf numFmtId="37" fontId="4" fillId="2" borderId="10" xfId="2" applyFont="1" applyFill="1" applyBorder="1" applyAlignment="1">
      <alignment horizontal="left"/>
    </xf>
    <xf numFmtId="0" fontId="10" fillId="0" borderId="0" xfId="0" applyFont="1"/>
    <xf numFmtId="37" fontId="2" fillId="2" borderId="16" xfId="2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37" fontId="2" fillId="2" borderId="11" xfId="2" applyFont="1" applyFill="1" applyBorder="1" applyAlignment="1">
      <alignment horizontal="center"/>
    </xf>
    <xf numFmtId="37" fontId="4" fillId="2" borderId="11" xfId="2" applyFont="1" applyFill="1" applyBorder="1" applyAlignment="1">
      <alignment horizontal="center"/>
    </xf>
    <xf numFmtId="37" fontId="8" fillId="2" borderId="11" xfId="2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37" fontId="5" fillId="0" borderId="11" xfId="2" applyFont="1" applyFill="1" applyBorder="1" applyAlignment="1">
      <alignment horizontal="center"/>
    </xf>
    <xf numFmtId="37" fontId="5" fillId="0" borderId="11" xfId="2" quotePrefix="1" applyFont="1" applyFill="1" applyBorder="1" applyAlignment="1">
      <alignment horizontal="center"/>
    </xf>
    <xf numFmtId="166" fontId="9" fillId="0" borderId="11" xfId="0" applyNumberFormat="1" applyFont="1" applyBorder="1" applyAlignment="1">
      <alignment horizontal="center"/>
    </xf>
    <xf numFmtId="37" fontId="5" fillId="0" borderId="11" xfId="2" quotePrefix="1" applyFont="1" applyFill="1" applyBorder="1" applyAlignment="1" applyProtection="1">
      <alignment horizontal="center"/>
    </xf>
    <xf numFmtId="37" fontId="5" fillId="0" borderId="11" xfId="2" applyFont="1" applyFill="1" applyBorder="1" applyAlignment="1" applyProtection="1">
      <alignment horizontal="center"/>
    </xf>
    <xf numFmtId="37" fontId="6" fillId="0" borderId="11" xfId="2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37" fontId="2" fillId="2" borderId="18" xfId="2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37" fontId="2" fillId="2" borderId="19" xfId="2" applyFont="1" applyFill="1" applyBorder="1" applyAlignment="1" applyProtection="1">
      <alignment horizontal="center"/>
    </xf>
    <xf numFmtId="0" fontId="2" fillId="2" borderId="20" xfId="0" applyFont="1" applyFill="1" applyBorder="1" applyAlignment="1">
      <alignment horizontal="center"/>
    </xf>
    <xf numFmtId="37" fontId="2" fillId="2" borderId="12" xfId="2" applyFont="1" applyFill="1" applyBorder="1" applyAlignment="1">
      <alignment horizontal="center"/>
    </xf>
    <xf numFmtId="37" fontId="8" fillId="2" borderId="12" xfId="2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37" fontId="5" fillId="0" borderId="12" xfId="2" applyFont="1" applyFill="1" applyBorder="1" applyAlignment="1">
      <alignment horizontal="center"/>
    </xf>
    <xf numFmtId="0" fontId="5" fillId="0" borderId="20" xfId="0" quotePrefix="1" applyFont="1" applyFill="1" applyBorder="1" applyAlignment="1">
      <alignment horizontal="center"/>
    </xf>
    <xf numFmtId="0" fontId="5" fillId="0" borderId="20" xfId="0" quotePrefix="1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</xf>
    <xf numFmtId="165" fontId="5" fillId="0" borderId="22" xfId="0" applyNumberFormat="1" applyFont="1" applyFill="1" applyBorder="1" applyAlignment="1">
      <alignment horizontal="center"/>
    </xf>
    <xf numFmtId="0" fontId="11" fillId="0" borderId="0" xfId="0" applyFont="1"/>
    <xf numFmtId="0" fontId="9" fillId="0" borderId="11" xfId="0" applyFont="1" applyBorder="1" applyAlignment="1">
      <alignment horizontal="center"/>
    </xf>
    <xf numFmtId="0" fontId="11" fillId="0" borderId="11" xfId="0" applyFont="1" applyBorder="1"/>
    <xf numFmtId="0" fontId="12" fillId="0" borderId="0" xfId="0" applyFont="1"/>
    <xf numFmtId="0" fontId="11" fillId="0" borderId="11" xfId="0" applyFont="1" applyBorder="1" applyAlignment="1">
      <alignment horizontal="center"/>
    </xf>
    <xf numFmtId="165" fontId="13" fillId="0" borderId="11" xfId="0" applyNumberFormat="1" applyFont="1" applyFill="1" applyBorder="1" applyAlignment="1">
      <alignment horizontal="right"/>
    </xf>
    <xf numFmtId="10" fontId="11" fillId="0" borderId="1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165" fontId="16" fillId="0" borderId="12" xfId="0" applyNumberFormat="1" applyFont="1" applyFill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7" fillId="2" borderId="27" xfId="0" applyFont="1" applyFill="1" applyBorder="1" applyAlignment="1" applyProtection="1">
      <alignment horizontal="centerContinuous"/>
    </xf>
    <xf numFmtId="0" fontId="17" fillId="2" borderId="0" xfId="0" applyFont="1" applyFill="1" applyBorder="1" applyAlignment="1" applyProtection="1">
      <alignment horizontal="centerContinuous"/>
    </xf>
    <xf numFmtId="0" fontId="17" fillId="2" borderId="6" xfId="0" applyFont="1" applyFill="1" applyBorder="1" applyAlignment="1" applyProtection="1">
      <alignment horizontal="centerContinuous"/>
    </xf>
    <xf numFmtId="0" fontId="17" fillId="2" borderId="2" xfId="0" applyFont="1" applyFill="1" applyBorder="1" applyAlignment="1">
      <alignment horizontal="centerContinuous"/>
    </xf>
    <xf numFmtId="0" fontId="17" fillId="2" borderId="6" xfId="0" applyFont="1" applyFill="1" applyBorder="1" applyAlignment="1">
      <alignment horizontal="centerContinuous"/>
    </xf>
    <xf numFmtId="165" fontId="18" fillId="0" borderId="0" xfId="0" applyNumberFormat="1" applyFont="1" applyFill="1" applyBorder="1" applyAlignment="1">
      <alignment horizontal="right"/>
    </xf>
    <xf numFmtId="0" fontId="19" fillId="0" borderId="0" xfId="0" applyFont="1"/>
    <xf numFmtId="0" fontId="0" fillId="0" borderId="0" xfId="0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167" fontId="0" fillId="0" borderId="11" xfId="1" applyNumberFormat="1" applyFont="1" applyBorder="1"/>
    <xf numFmtId="167" fontId="0" fillId="0" borderId="0" xfId="0" applyNumberFormat="1" applyAlignment="1">
      <alignment horizontal="right"/>
    </xf>
    <xf numFmtId="167" fontId="10" fillId="0" borderId="0" xfId="0" applyNumberFormat="1" applyFont="1" applyAlignment="1">
      <alignment horizontal="right"/>
    </xf>
    <xf numFmtId="165" fontId="14" fillId="0" borderId="0" xfId="0" applyNumberFormat="1" applyFont="1"/>
    <xf numFmtId="0" fontId="14" fillId="0" borderId="0" xfId="0" applyFont="1"/>
    <xf numFmtId="0" fontId="0" fillId="0" borderId="0" xfId="0" applyFill="1"/>
    <xf numFmtId="167" fontId="0" fillId="0" borderId="0" xfId="1" applyNumberFormat="1" applyFont="1" applyBorder="1"/>
    <xf numFmtId="167" fontId="10" fillId="0" borderId="0" xfId="1" applyNumberFormat="1" applyFont="1" applyFill="1" applyBorder="1"/>
    <xf numFmtId="10" fontId="11" fillId="0" borderId="11" xfId="3" applyNumberFormat="1" applyFont="1" applyBorder="1" applyAlignment="1">
      <alignment horizontal="center"/>
    </xf>
    <xf numFmtId="0" fontId="1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28" xfId="0" applyBorder="1"/>
    <xf numFmtId="0" fontId="0" fillId="0" borderId="16" xfId="0" applyBorder="1"/>
    <xf numFmtId="0" fontId="0" fillId="0" borderId="29" xfId="0" applyBorder="1"/>
    <xf numFmtId="0" fontId="0" fillId="0" borderId="27" xfId="0" applyBorder="1" applyAlignment="1">
      <alignment horizontal="center"/>
    </xf>
    <xf numFmtId="167" fontId="0" fillId="0" borderId="6" xfId="1" applyNumberFormat="1" applyFont="1" applyBorder="1"/>
    <xf numFmtId="0" fontId="0" fillId="0" borderId="27" xfId="0" applyBorder="1"/>
    <xf numFmtId="167" fontId="10" fillId="0" borderId="6" xfId="1" applyNumberFormat="1" applyFont="1" applyFill="1" applyBorder="1"/>
    <xf numFmtId="0" fontId="0" fillId="0" borderId="30" xfId="0" applyBorder="1"/>
    <xf numFmtId="0" fontId="0" fillId="0" borderId="24" xfId="0" applyBorder="1"/>
    <xf numFmtId="0" fontId="0" fillId="0" borderId="14" xfId="0" applyBorder="1"/>
    <xf numFmtId="0" fontId="1" fillId="0" borderId="11" xfId="0" applyFont="1" applyBorder="1"/>
    <xf numFmtId="37" fontId="2" fillId="2" borderId="31" xfId="2" applyFont="1" applyFill="1" applyBorder="1" applyAlignment="1" applyProtection="1">
      <alignment horizontal="center"/>
    </xf>
    <xf numFmtId="37" fontId="2" fillId="2" borderId="32" xfId="2" applyFont="1" applyFill="1" applyBorder="1" applyAlignment="1">
      <alignment horizontal="center"/>
    </xf>
    <xf numFmtId="37" fontId="2" fillId="2" borderId="26" xfId="2" applyFont="1" applyFill="1" applyBorder="1" applyAlignment="1">
      <alignment horizontal="center"/>
    </xf>
    <xf numFmtId="37" fontId="4" fillId="2" borderId="30" xfId="2" applyFont="1" applyFill="1" applyBorder="1" applyAlignment="1" applyProtection="1">
      <alignment horizontal="left"/>
    </xf>
    <xf numFmtId="37" fontId="4" fillId="2" borderId="14" xfId="2" applyFont="1" applyFill="1" applyBorder="1" applyAlignment="1" applyProtection="1">
      <alignment horizontal="left"/>
    </xf>
    <xf numFmtId="0" fontId="0" fillId="0" borderId="11" xfId="0" applyBorder="1"/>
    <xf numFmtId="0" fontId="9" fillId="0" borderId="11" xfId="0" applyFont="1" applyBorder="1"/>
    <xf numFmtId="168" fontId="9" fillId="0" borderId="11" xfId="0" applyNumberFormat="1" applyFont="1" applyBorder="1"/>
    <xf numFmtId="0" fontId="9" fillId="0" borderId="12" xfId="0" applyFont="1" applyBorder="1" applyAlignment="1">
      <alignment horizontal="center"/>
    </xf>
    <xf numFmtId="0" fontId="9" fillId="0" borderId="12" xfId="0" applyFont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37" fontId="6" fillId="0" borderId="22" xfId="2" applyFont="1" applyFill="1" applyBorder="1" applyAlignment="1" applyProtection="1">
      <alignment horizontal="center"/>
    </xf>
    <xf numFmtId="1" fontId="9" fillId="0" borderId="22" xfId="0" applyNumberFormat="1" applyFont="1" applyBorder="1" applyAlignment="1">
      <alignment horizontal="center"/>
    </xf>
    <xf numFmtId="166" fontId="9" fillId="0" borderId="22" xfId="0" applyNumberFormat="1" applyFont="1" applyBorder="1" applyAlignment="1">
      <alignment horizontal="center"/>
    </xf>
    <xf numFmtId="0" fontId="10" fillId="4" borderId="11" xfId="0" applyFont="1" applyFill="1" applyBorder="1"/>
    <xf numFmtId="167" fontId="10" fillId="4" borderId="11" xfId="1" applyNumberFormat="1" applyFont="1" applyFill="1" applyBorder="1"/>
    <xf numFmtId="0" fontId="0" fillId="4" borderId="0" xfId="0" applyFill="1" applyAlignment="1">
      <alignment wrapText="1"/>
    </xf>
    <xf numFmtId="167" fontId="10" fillId="4" borderId="0" xfId="1" applyNumberFormat="1" applyFont="1" applyFill="1" applyAlignment="1">
      <alignment horizontal="center"/>
    </xf>
    <xf numFmtId="165" fontId="9" fillId="0" borderId="0" xfId="0" applyNumberFormat="1" applyFont="1"/>
    <xf numFmtId="0" fontId="1" fillId="6" borderId="11" xfId="0" applyFont="1" applyFill="1" applyBorder="1"/>
    <xf numFmtId="167" fontId="1" fillId="6" borderId="11" xfId="1" applyNumberFormat="1" applyFont="1" applyFill="1" applyBorder="1"/>
    <xf numFmtId="165" fontId="13" fillId="7" borderId="11" xfId="0" applyNumberFormat="1" applyFont="1" applyFill="1" applyBorder="1" applyAlignment="1">
      <alignment horizontal="right"/>
    </xf>
    <xf numFmtId="10" fontId="11" fillId="7" borderId="11" xfId="3" applyNumberFormat="1" applyFont="1" applyFill="1" applyBorder="1" applyAlignment="1">
      <alignment horizontal="center"/>
    </xf>
    <xf numFmtId="0" fontId="22" fillId="2" borderId="28" xfId="0" applyFont="1" applyFill="1" applyBorder="1" applyAlignment="1" applyProtection="1">
      <alignment horizontal="centerContinuous"/>
    </xf>
    <xf numFmtId="0" fontId="23" fillId="2" borderId="16" xfId="0" applyFont="1" applyFill="1" applyBorder="1" applyAlignment="1" applyProtection="1">
      <alignment horizontal="centerContinuous"/>
    </xf>
    <xf numFmtId="0" fontId="23" fillId="2" borderId="29" xfId="0" applyFont="1" applyFill="1" applyBorder="1" applyAlignment="1">
      <alignment horizontal="centerContinuous"/>
    </xf>
    <xf numFmtId="0" fontId="24" fillId="0" borderId="0" xfId="0" applyFont="1" applyAlignment="1">
      <alignment horizontal="center"/>
    </xf>
    <xf numFmtId="165" fontId="24" fillId="0" borderId="0" xfId="0" applyNumberFormat="1" applyFont="1" applyFill="1" applyBorder="1" applyAlignment="1">
      <alignment horizontal="right"/>
    </xf>
    <xf numFmtId="0" fontId="24" fillId="0" borderId="0" xfId="0" applyFont="1"/>
    <xf numFmtId="0" fontId="25" fillId="2" borderId="27" xfId="0" applyFont="1" applyFill="1" applyBorder="1" applyAlignment="1">
      <alignment horizontal="centerContinuous"/>
    </xf>
    <xf numFmtId="0" fontId="26" fillId="2" borderId="0" xfId="0" applyFont="1" applyFill="1" applyBorder="1" applyAlignment="1">
      <alignment horizontal="centerContinuous"/>
    </xf>
    <xf numFmtId="0" fontId="26" fillId="2" borderId="6" xfId="0" applyFont="1" applyFill="1" applyBorder="1" applyAlignment="1">
      <alignment horizontal="centerContinuous"/>
    </xf>
    <xf numFmtId="0" fontId="26" fillId="2" borderId="2" xfId="0" applyFont="1" applyFill="1" applyBorder="1" applyAlignment="1">
      <alignment horizontal="centerContinuous"/>
    </xf>
    <xf numFmtId="0" fontId="27" fillId="0" borderId="0" xfId="0" applyFont="1" applyAlignment="1">
      <alignment horizontal="center"/>
    </xf>
    <xf numFmtId="165" fontId="27" fillId="0" borderId="0" xfId="0" applyNumberFormat="1" applyFont="1" applyFill="1" applyBorder="1" applyAlignment="1">
      <alignment horizontal="right"/>
    </xf>
    <xf numFmtId="0" fontId="27" fillId="0" borderId="0" xfId="0" applyFont="1"/>
    <xf numFmtId="169" fontId="9" fillId="0" borderId="0" xfId="0" applyNumberFormat="1" applyFont="1"/>
    <xf numFmtId="0" fontId="7" fillId="0" borderId="25" xfId="0" applyFont="1" applyBorder="1"/>
    <xf numFmtId="165" fontId="16" fillId="0" borderId="20" xfId="0" applyNumberFormat="1" applyFont="1" applyFill="1" applyBorder="1" applyAlignment="1">
      <alignment horizontal="right"/>
    </xf>
    <xf numFmtId="165" fontId="8" fillId="0" borderId="21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14" fillId="0" borderId="35" xfId="0" applyFont="1" applyBorder="1"/>
    <xf numFmtId="0" fontId="7" fillId="0" borderId="36" xfId="0" applyFont="1" applyBorder="1"/>
    <xf numFmtId="0" fontId="9" fillId="0" borderId="17" xfId="0" applyFont="1" applyBorder="1" applyAlignment="1">
      <alignment horizontal="center"/>
    </xf>
    <xf numFmtId="0" fontId="23" fillId="2" borderId="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"/>
    </xf>
    <xf numFmtId="10" fontId="11" fillId="0" borderId="11" xfId="3" applyNumberFormat="1" applyFont="1" applyFill="1" applyBorder="1" applyAlignment="1">
      <alignment horizontal="center"/>
    </xf>
    <xf numFmtId="0" fontId="11" fillId="0" borderId="0" xfId="0" applyFont="1" applyFill="1"/>
    <xf numFmtId="0" fontId="14" fillId="0" borderId="20" xfId="0" applyFont="1" applyFill="1" applyBorder="1"/>
    <xf numFmtId="0" fontId="15" fillId="0" borderId="0" xfId="0" applyFont="1" applyBorder="1" applyAlignment="1">
      <alignment horizontal="right"/>
    </xf>
    <xf numFmtId="166" fontId="9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12" fillId="0" borderId="0" xfId="0" applyFont="1" applyBorder="1"/>
    <xf numFmtId="165" fontId="1" fillId="0" borderId="0" xfId="0" applyNumberFormat="1" applyFont="1"/>
    <xf numFmtId="9" fontId="13" fillId="0" borderId="11" xfId="3" applyFont="1" applyFill="1" applyBorder="1" applyAlignment="1">
      <alignment horizontal="right"/>
    </xf>
    <xf numFmtId="165" fontId="5" fillId="8" borderId="5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right"/>
    </xf>
    <xf numFmtId="42" fontId="13" fillId="0" borderId="11" xfId="4" applyFont="1" applyFill="1" applyBorder="1" applyAlignment="1">
      <alignment horizontal="right"/>
    </xf>
    <xf numFmtId="0" fontId="10" fillId="0" borderId="26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165" fontId="13" fillId="0" borderId="26" xfId="0" applyNumberFormat="1" applyFont="1" applyFill="1" applyBorder="1" applyAlignment="1">
      <alignment horizontal="right"/>
    </xf>
    <xf numFmtId="0" fontId="10" fillId="0" borderId="17" xfId="0" applyFont="1" applyBorder="1" applyAlignment="1">
      <alignment horizontal="center"/>
    </xf>
    <xf numFmtId="0" fontId="10" fillId="7" borderId="18" xfId="0" applyFont="1" applyFill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165" fontId="13" fillId="0" borderId="12" xfId="0" applyNumberFormat="1" applyFont="1" applyFill="1" applyBorder="1" applyAlignment="1">
      <alignment horizontal="right"/>
    </xf>
    <xf numFmtId="9" fontId="13" fillId="0" borderId="12" xfId="3" applyFont="1" applyFill="1" applyBorder="1" applyAlignment="1">
      <alignment horizontal="right"/>
    </xf>
    <xf numFmtId="0" fontId="10" fillId="0" borderId="21" xfId="0" applyFont="1" applyBorder="1" applyAlignment="1">
      <alignment horizontal="center"/>
    </xf>
    <xf numFmtId="165" fontId="13" fillId="7" borderId="22" xfId="0" applyNumberFormat="1" applyFont="1" applyFill="1" applyBorder="1" applyAlignment="1">
      <alignment horizontal="right"/>
    </xf>
    <xf numFmtId="165" fontId="13" fillId="0" borderId="23" xfId="0" applyNumberFormat="1" applyFont="1" applyFill="1" applyBorder="1" applyAlignment="1">
      <alignment horizontal="right"/>
    </xf>
    <xf numFmtId="0" fontId="7" fillId="5" borderId="30" xfId="0" applyFont="1" applyFill="1" applyBorder="1" applyAlignment="1"/>
    <xf numFmtId="0" fontId="7" fillId="5" borderId="24" xfId="0" applyFont="1" applyFill="1" applyBorder="1" applyAlignment="1"/>
    <xf numFmtId="0" fontId="7" fillId="5" borderId="14" xfId="0" applyFont="1" applyFill="1" applyBorder="1" applyAlignment="1"/>
    <xf numFmtId="165" fontId="11" fillId="0" borderId="0" xfId="0" applyNumberFormat="1" applyFont="1"/>
    <xf numFmtId="10" fontId="9" fillId="0" borderId="0" xfId="0" applyNumberFormat="1" applyFont="1" applyBorder="1" applyAlignment="1">
      <alignment horizontal="center"/>
    </xf>
    <xf numFmtId="165" fontId="5" fillId="0" borderId="19" xfId="0" applyNumberFormat="1" applyFont="1" applyFill="1" applyBorder="1" applyAlignment="1">
      <alignment horizontal="right"/>
    </xf>
    <xf numFmtId="165" fontId="5" fillId="0" borderId="23" xfId="0" applyNumberFormat="1" applyFont="1" applyFill="1" applyBorder="1" applyAlignment="1">
      <alignment horizontal="right"/>
    </xf>
    <xf numFmtId="0" fontId="14" fillId="0" borderId="17" xfId="0" applyFont="1" applyBorder="1" applyAlignment="1">
      <alignment horizontal="center" wrapText="1"/>
    </xf>
    <xf numFmtId="10" fontId="5" fillId="0" borderId="19" xfId="3" applyNumberFormat="1" applyFont="1" applyFill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7" fillId="5" borderId="38" xfId="0" applyFont="1" applyFill="1" applyBorder="1" applyAlignment="1">
      <alignment horizontal="center"/>
    </xf>
    <xf numFmtId="37" fontId="4" fillId="2" borderId="28" xfId="2" applyFont="1" applyFill="1" applyBorder="1" applyAlignment="1" applyProtection="1">
      <alignment horizontal="center"/>
    </xf>
    <xf numFmtId="37" fontId="4" fillId="2" borderId="29" xfId="2" applyFont="1" applyFill="1" applyBorder="1" applyAlignment="1" applyProtection="1">
      <alignment horizontal="center"/>
    </xf>
  </cellXfs>
  <cellStyles count="5">
    <cellStyle name="Moneda" xfId="1" builtinId="4"/>
    <cellStyle name="Moneda [0]" xfId="4" builtinId="7"/>
    <cellStyle name="Normal" xfId="0" builtinId="0"/>
    <cellStyle name="Normal_GERS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15875</xdr:colOff>
      <xdr:row>0</xdr:row>
      <xdr:rowOff>0</xdr:rowOff>
    </xdr:from>
    <xdr:to>
      <xdr:col>9</xdr:col>
      <xdr:colOff>185965</xdr:colOff>
      <xdr:row>0</xdr:row>
      <xdr:rowOff>456115</xdr:rowOff>
    </xdr:to>
    <xdr:pic>
      <xdr:nvPicPr>
        <xdr:cNvPr id="2" name="Picture 7" descr="LOGO Ger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37625" y="0"/>
          <a:ext cx="1011465" cy="456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7"/>
  <sheetViews>
    <sheetView tabSelected="1" zoomScale="60" zoomScaleNormal="60" zoomScaleSheetLayoutView="59" workbookViewId="0">
      <selection activeCell="L21" sqref="L21"/>
    </sheetView>
  </sheetViews>
  <sheetFormatPr baseColWidth="10" defaultColWidth="11.42578125" defaultRowHeight="12.75" x14ac:dyDescent="0.2"/>
  <cols>
    <col min="1" max="1" width="31.7109375" style="53" customWidth="1"/>
    <col min="2" max="2" width="19.140625" style="53" customWidth="1"/>
    <col min="3" max="3" width="18.28515625" style="53" bestFit="1" customWidth="1"/>
    <col min="4" max="4" width="16.28515625" style="53" customWidth="1"/>
    <col min="5" max="5" width="17.42578125" style="53" customWidth="1"/>
    <col min="6" max="6" width="15.28515625" style="53" bestFit="1" customWidth="1"/>
    <col min="7" max="7" width="17.5703125" style="53" customWidth="1"/>
    <col min="8" max="8" width="16.7109375" style="53" customWidth="1"/>
    <col min="9" max="9" width="12.7109375" style="53" customWidth="1"/>
    <col min="10" max="10" width="15.5703125" style="53" customWidth="1"/>
    <col min="11" max="11" width="13.7109375" style="53" customWidth="1"/>
    <col min="12" max="12" width="15.140625" style="53" customWidth="1"/>
    <col min="13" max="13" width="18" style="53" customWidth="1"/>
    <col min="14" max="14" width="15.42578125" style="53" customWidth="1"/>
    <col min="15" max="15" width="10.85546875" style="83" bestFit="1" customWidth="1"/>
    <col min="16" max="16" width="9.5703125" style="83" bestFit="1" customWidth="1"/>
    <col min="17" max="17" width="13.42578125" style="83" bestFit="1" customWidth="1"/>
    <col min="18" max="18" width="14.28515625" style="83" customWidth="1"/>
    <col min="19" max="19" width="15.42578125" style="83" customWidth="1"/>
    <col min="20" max="20" width="26.85546875" style="83" bestFit="1" customWidth="1"/>
    <col min="21" max="21" width="13.140625" style="85" bestFit="1" customWidth="1"/>
    <col min="22" max="22" width="13" style="83" bestFit="1" customWidth="1"/>
    <col min="23" max="23" width="13" style="83" customWidth="1"/>
    <col min="24" max="24" width="17" style="83" bestFit="1" customWidth="1"/>
    <col min="25" max="25" width="12.42578125" style="83" bestFit="1" customWidth="1"/>
    <col min="26" max="16384" width="11.42578125" style="83"/>
  </cols>
  <sheetData>
    <row r="1" spans="1:24" s="127" customFormat="1" ht="36.75" customHeight="1" x14ac:dyDescent="0.5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44"/>
      <c r="P1" s="144"/>
      <c r="Q1" s="144"/>
      <c r="R1" s="144"/>
      <c r="S1" s="124"/>
      <c r="T1" s="125"/>
      <c r="U1" s="126"/>
      <c r="V1" s="125"/>
    </row>
    <row r="2" spans="1:24" s="134" customFormat="1" ht="22.5" customHeight="1" x14ac:dyDescent="0.4">
      <c r="A2" s="128" t="s">
        <v>73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  <c r="O2" s="131"/>
      <c r="P2" s="131"/>
      <c r="Q2" s="130"/>
      <c r="R2" s="130"/>
      <c r="S2" s="130"/>
      <c r="T2" s="132"/>
      <c r="U2" s="133"/>
      <c r="V2" s="132"/>
    </row>
    <row r="3" spans="1:24" s="70" customFormat="1" ht="18" customHeight="1" thickBot="1" x14ac:dyDescent="0.35">
      <c r="A3" s="64" t="s">
        <v>49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67"/>
      <c r="P3" s="67"/>
      <c r="Q3" s="68"/>
      <c r="R3" s="68"/>
      <c r="S3" s="68"/>
      <c r="T3" s="84"/>
      <c r="U3" s="69"/>
      <c r="V3" s="84"/>
    </row>
    <row r="4" spans="1:24" s="57" customFormat="1" ht="31.5" customHeight="1" x14ac:dyDescent="0.25">
      <c r="A4" s="36" t="s">
        <v>37</v>
      </c>
      <c r="B4" s="37" t="s">
        <v>0</v>
      </c>
      <c r="C4" s="37" t="s">
        <v>1</v>
      </c>
      <c r="D4" s="37" t="s">
        <v>1</v>
      </c>
      <c r="E4" s="37" t="s">
        <v>1</v>
      </c>
      <c r="F4" s="38" t="s">
        <v>6</v>
      </c>
      <c r="G4" s="38" t="s">
        <v>6</v>
      </c>
      <c r="H4" s="37" t="s">
        <v>6</v>
      </c>
      <c r="I4" s="37" t="s">
        <v>6</v>
      </c>
      <c r="J4" s="39" t="s">
        <v>6</v>
      </c>
      <c r="K4" s="39" t="s">
        <v>6</v>
      </c>
      <c r="L4" s="39" t="s">
        <v>6</v>
      </c>
      <c r="M4" s="24" t="s">
        <v>26</v>
      </c>
      <c r="N4" s="15" t="s">
        <v>28</v>
      </c>
      <c r="O4" s="15" t="s">
        <v>29</v>
      </c>
      <c r="P4" s="15" t="s">
        <v>31</v>
      </c>
      <c r="Q4" s="17" t="s">
        <v>33</v>
      </c>
      <c r="R4" s="19" t="s">
        <v>34</v>
      </c>
      <c r="S4" s="21" t="s">
        <v>35</v>
      </c>
    </row>
    <row r="5" spans="1:24" s="57" customFormat="1" ht="18" x14ac:dyDescent="0.25">
      <c r="A5" s="40"/>
      <c r="B5" s="26" t="s">
        <v>2</v>
      </c>
      <c r="C5" s="26" t="s">
        <v>4</v>
      </c>
      <c r="D5" s="26" t="s">
        <v>4</v>
      </c>
      <c r="E5" s="26" t="s">
        <v>5</v>
      </c>
      <c r="F5" s="25" t="s">
        <v>8</v>
      </c>
      <c r="G5" s="25" t="s">
        <v>7</v>
      </c>
      <c r="H5" s="26" t="s">
        <v>12</v>
      </c>
      <c r="I5" s="26" t="s">
        <v>13</v>
      </c>
      <c r="J5" s="41" t="s">
        <v>63</v>
      </c>
      <c r="K5" s="41" t="s">
        <v>61</v>
      </c>
      <c r="L5" s="41" t="s">
        <v>62</v>
      </c>
      <c r="M5" s="6" t="s">
        <v>27</v>
      </c>
      <c r="N5" s="2" t="s">
        <v>27</v>
      </c>
      <c r="O5" s="2" t="s">
        <v>30</v>
      </c>
      <c r="P5" s="2" t="s">
        <v>30</v>
      </c>
      <c r="Q5" s="18" t="s">
        <v>32</v>
      </c>
      <c r="R5" s="20" t="s">
        <v>32</v>
      </c>
      <c r="S5" s="22" t="s">
        <v>32</v>
      </c>
      <c r="U5" s="14"/>
      <c r="V5" s="58"/>
    </row>
    <row r="6" spans="1:24" s="57" customFormat="1" ht="18" x14ac:dyDescent="0.25">
      <c r="A6" s="40"/>
      <c r="B6" s="27"/>
      <c r="C6" s="28" t="s">
        <v>15</v>
      </c>
      <c r="D6" s="28" t="s">
        <v>10</v>
      </c>
      <c r="E6" s="28" t="s">
        <v>10</v>
      </c>
      <c r="F6" s="29" t="s">
        <v>10</v>
      </c>
      <c r="G6" s="29" t="s">
        <v>10</v>
      </c>
      <c r="H6" s="28" t="s">
        <v>10</v>
      </c>
      <c r="I6" s="28" t="s">
        <v>10</v>
      </c>
      <c r="J6" s="42" t="s">
        <v>10</v>
      </c>
      <c r="K6" s="42" t="s">
        <v>10</v>
      </c>
      <c r="L6" s="42" t="s">
        <v>10</v>
      </c>
      <c r="M6" s="7" t="s">
        <v>9</v>
      </c>
      <c r="N6" s="3" t="s">
        <v>9</v>
      </c>
      <c r="O6" s="3" t="s">
        <v>9</v>
      </c>
      <c r="P6" s="3" t="s">
        <v>9</v>
      </c>
      <c r="Q6" s="3" t="s">
        <v>9</v>
      </c>
      <c r="R6" s="3" t="s">
        <v>9</v>
      </c>
      <c r="S6" s="9" t="s">
        <v>9</v>
      </c>
      <c r="U6" s="14"/>
    </row>
    <row r="7" spans="1:24" s="57" customFormat="1" ht="18" x14ac:dyDescent="0.25">
      <c r="A7" s="43" t="s">
        <v>3</v>
      </c>
      <c r="B7" s="30"/>
      <c r="C7" s="51"/>
      <c r="D7" s="30"/>
      <c r="E7" s="30"/>
      <c r="F7" s="51"/>
      <c r="G7" s="51"/>
      <c r="H7" s="30"/>
      <c r="I7" s="30"/>
      <c r="J7" s="44"/>
      <c r="K7" s="44"/>
      <c r="L7" s="44"/>
      <c r="M7" s="8"/>
      <c r="N7" s="1"/>
      <c r="O7" s="1"/>
      <c r="P7" s="1"/>
      <c r="Q7" s="1"/>
      <c r="R7" s="1"/>
      <c r="S7" s="10"/>
    </row>
    <row r="8" spans="1:24" s="57" customFormat="1" ht="18" x14ac:dyDescent="0.25">
      <c r="A8" s="45">
        <v>1</v>
      </c>
      <c r="B8" s="31">
        <v>15</v>
      </c>
      <c r="C8" s="59">
        <v>21</v>
      </c>
      <c r="D8" s="12">
        <f>CEILING((C8*$N$18),1000)</f>
        <v>27300000</v>
      </c>
      <c r="E8" s="12">
        <f>CEILING(D8*2.65,1000)</f>
        <v>72345000</v>
      </c>
      <c r="F8" s="32">
        <f>CEILING(G8*8.5,1000)</f>
        <v>3621000</v>
      </c>
      <c r="G8" s="32">
        <f>CEILING(E8/170,1000)</f>
        <v>426000</v>
      </c>
      <c r="H8" s="12">
        <f t="shared" ref="H8:H13" si="0">+G8*1.25</f>
        <v>532500</v>
      </c>
      <c r="I8" s="12">
        <f t="shared" ref="I8:I13" si="1">+G8*1.75</f>
        <v>745500</v>
      </c>
      <c r="J8" s="13">
        <f>+F8*1.75</f>
        <v>6336750</v>
      </c>
      <c r="K8" s="13">
        <f>+G8*2</f>
        <v>852000</v>
      </c>
      <c r="L8" s="13">
        <f>+G8*2.5</f>
        <v>1065000</v>
      </c>
      <c r="M8" s="4">
        <f t="shared" ref="M8:M16" si="2">ROUNDUP(D8/$N$19,-2)</f>
        <v>7200</v>
      </c>
      <c r="N8" s="4">
        <f>M8*2.65</f>
        <v>19080</v>
      </c>
      <c r="O8" s="4">
        <f>N8/20</f>
        <v>954</v>
      </c>
      <c r="P8" s="4">
        <f t="shared" ref="P8:P13" si="3">N8/170</f>
        <v>112.23529411764706</v>
      </c>
      <c r="Q8" s="4">
        <f t="shared" ref="Q8:Q13" si="4">+P8*1.25</f>
        <v>140.29411764705881</v>
      </c>
      <c r="R8" s="4">
        <f t="shared" ref="R8:R13" si="5">+P8*1.75</f>
        <v>196.41176470588235</v>
      </c>
      <c r="S8" s="11">
        <f>+P8*1.75</f>
        <v>196.41176470588235</v>
      </c>
      <c r="U8" s="14"/>
      <c r="V8" s="58"/>
    </row>
    <row r="9" spans="1:24" s="57" customFormat="1" ht="18" x14ac:dyDescent="0.25">
      <c r="A9" s="46">
        <v>2</v>
      </c>
      <c r="B9" s="33">
        <v>11</v>
      </c>
      <c r="C9" s="59">
        <v>17</v>
      </c>
      <c r="D9" s="12">
        <f t="shared" ref="D9:D16" si="6">CEILING((C9*$N$18),1000)</f>
        <v>22100000</v>
      </c>
      <c r="E9" s="12">
        <f t="shared" ref="E9:E16" si="7">CEILING(D9*2.65,1000)</f>
        <v>58565000</v>
      </c>
      <c r="F9" s="32">
        <f t="shared" ref="F9:F16" si="8">CEILING(G9*8.5,1000)</f>
        <v>2933000</v>
      </c>
      <c r="G9" s="32">
        <f t="shared" ref="G9:G16" si="9">CEILING(E9/170,1000)</f>
        <v>345000</v>
      </c>
      <c r="H9" s="12">
        <f t="shared" si="0"/>
        <v>431250</v>
      </c>
      <c r="I9" s="12">
        <f t="shared" si="1"/>
        <v>603750</v>
      </c>
      <c r="J9" s="13">
        <f t="shared" ref="J9:J16" si="10">+F9*1.75</f>
        <v>5132750</v>
      </c>
      <c r="K9" s="13">
        <f t="shared" ref="K9:K16" si="11">+G9*2</f>
        <v>690000</v>
      </c>
      <c r="L9" s="13">
        <f t="shared" ref="L9:L16" si="12">+G9*2.5</f>
        <v>862500</v>
      </c>
      <c r="M9" s="4">
        <f t="shared" si="2"/>
        <v>5900</v>
      </c>
      <c r="N9" s="4">
        <f t="shared" ref="N9:N16" si="13">M9*2.65</f>
        <v>15635</v>
      </c>
      <c r="O9" s="4">
        <f t="shared" ref="O9:O16" si="14">N9/20</f>
        <v>781.75</v>
      </c>
      <c r="P9" s="4">
        <f t="shared" si="3"/>
        <v>91.970588235294116</v>
      </c>
      <c r="Q9" s="4">
        <f t="shared" si="4"/>
        <v>114.96323529411765</v>
      </c>
      <c r="R9" s="4">
        <f t="shared" si="5"/>
        <v>160.9485294117647</v>
      </c>
      <c r="S9" s="11">
        <f t="shared" ref="S9:S16" si="15">+P9*1.75</f>
        <v>160.9485294117647</v>
      </c>
      <c r="U9" s="14"/>
      <c r="V9" s="58"/>
    </row>
    <row r="10" spans="1:24" s="57" customFormat="1" ht="18" x14ac:dyDescent="0.25">
      <c r="A10" s="46">
        <v>3</v>
      </c>
      <c r="B10" s="33">
        <v>8</v>
      </c>
      <c r="C10" s="59">
        <v>13</v>
      </c>
      <c r="D10" s="12">
        <f t="shared" si="6"/>
        <v>16900000</v>
      </c>
      <c r="E10" s="12">
        <f t="shared" si="7"/>
        <v>44785000</v>
      </c>
      <c r="F10" s="32">
        <f t="shared" si="8"/>
        <v>2244000</v>
      </c>
      <c r="G10" s="32">
        <f t="shared" si="9"/>
        <v>264000</v>
      </c>
      <c r="H10" s="12">
        <f t="shared" si="0"/>
        <v>330000</v>
      </c>
      <c r="I10" s="12">
        <f t="shared" si="1"/>
        <v>462000</v>
      </c>
      <c r="J10" s="13">
        <f t="shared" si="10"/>
        <v>3927000</v>
      </c>
      <c r="K10" s="13">
        <f t="shared" si="11"/>
        <v>528000</v>
      </c>
      <c r="L10" s="13">
        <f t="shared" si="12"/>
        <v>660000</v>
      </c>
      <c r="M10" s="4">
        <f t="shared" si="2"/>
        <v>4500</v>
      </c>
      <c r="N10" s="4">
        <f t="shared" si="13"/>
        <v>11925</v>
      </c>
      <c r="O10" s="4">
        <f t="shared" si="14"/>
        <v>596.25</v>
      </c>
      <c r="P10" s="155">
        <f>N10/170</f>
        <v>70.147058823529406</v>
      </c>
      <c r="Q10" s="4">
        <f t="shared" si="4"/>
        <v>87.683823529411754</v>
      </c>
      <c r="R10" s="4">
        <f t="shared" si="5"/>
        <v>122.75735294117646</v>
      </c>
      <c r="S10" s="11">
        <f t="shared" si="15"/>
        <v>122.75735294117646</v>
      </c>
      <c r="U10" s="14"/>
      <c r="V10" s="58"/>
    </row>
    <row r="11" spans="1:24" s="57" customFormat="1" ht="18.75" x14ac:dyDescent="0.25">
      <c r="A11" s="46">
        <v>4</v>
      </c>
      <c r="B11" s="33">
        <v>6</v>
      </c>
      <c r="C11" s="59">
        <v>10</v>
      </c>
      <c r="D11" s="12">
        <f t="shared" si="6"/>
        <v>13000000</v>
      </c>
      <c r="E11" s="12">
        <f t="shared" si="7"/>
        <v>34450000</v>
      </c>
      <c r="F11" s="32">
        <f t="shared" si="8"/>
        <v>1726000</v>
      </c>
      <c r="G11" s="32">
        <f t="shared" si="9"/>
        <v>203000</v>
      </c>
      <c r="H11" s="12">
        <f t="shared" si="0"/>
        <v>253750</v>
      </c>
      <c r="I11" s="12">
        <f t="shared" si="1"/>
        <v>355250</v>
      </c>
      <c r="J11" s="13">
        <f t="shared" si="10"/>
        <v>3020500</v>
      </c>
      <c r="K11" s="13">
        <f t="shared" si="11"/>
        <v>406000</v>
      </c>
      <c r="L11" s="13">
        <f t="shared" si="12"/>
        <v>507500</v>
      </c>
      <c r="M11" s="4">
        <f t="shared" si="2"/>
        <v>3500</v>
      </c>
      <c r="N11" s="4">
        <f t="shared" si="13"/>
        <v>9275</v>
      </c>
      <c r="O11" s="4">
        <f t="shared" si="14"/>
        <v>463.75</v>
      </c>
      <c r="P11" s="155">
        <f t="shared" si="3"/>
        <v>54.558823529411768</v>
      </c>
      <c r="Q11" s="4">
        <f t="shared" si="4"/>
        <v>68.19852941176471</v>
      </c>
      <c r="R11" s="4">
        <f t="shared" si="5"/>
        <v>95.477941176470594</v>
      </c>
      <c r="S11" s="11">
        <f t="shared" si="15"/>
        <v>95.477941176470594</v>
      </c>
      <c r="U11" s="151"/>
      <c r="V11" s="150"/>
      <c r="W11" s="150"/>
      <c r="X11" s="150"/>
    </row>
    <row r="12" spans="1:24" s="57" customFormat="1" ht="18.75" x14ac:dyDescent="0.25">
      <c r="A12" s="47">
        <v>5</v>
      </c>
      <c r="B12" s="34">
        <v>5</v>
      </c>
      <c r="C12" s="59">
        <v>8</v>
      </c>
      <c r="D12" s="12">
        <f t="shared" si="6"/>
        <v>10400000</v>
      </c>
      <c r="E12" s="12">
        <f t="shared" si="7"/>
        <v>27560000</v>
      </c>
      <c r="F12" s="32">
        <f t="shared" si="8"/>
        <v>1386000</v>
      </c>
      <c r="G12" s="32">
        <f t="shared" si="9"/>
        <v>163000</v>
      </c>
      <c r="H12" s="12">
        <f t="shared" si="0"/>
        <v>203750</v>
      </c>
      <c r="I12" s="12">
        <f t="shared" si="1"/>
        <v>285250</v>
      </c>
      <c r="J12" s="13">
        <f t="shared" si="10"/>
        <v>2425500</v>
      </c>
      <c r="K12" s="13">
        <f t="shared" si="11"/>
        <v>326000</v>
      </c>
      <c r="L12" s="13">
        <f t="shared" si="12"/>
        <v>407500</v>
      </c>
      <c r="M12" s="4">
        <f t="shared" si="2"/>
        <v>2800</v>
      </c>
      <c r="N12" s="4">
        <f t="shared" si="13"/>
        <v>7420</v>
      </c>
      <c r="O12" s="4">
        <f t="shared" si="14"/>
        <v>371</v>
      </c>
      <c r="P12" s="4">
        <f t="shared" si="3"/>
        <v>43.647058823529413</v>
      </c>
      <c r="Q12" s="4">
        <f t="shared" si="4"/>
        <v>54.558823529411768</v>
      </c>
      <c r="R12" s="4">
        <f t="shared" si="5"/>
        <v>76.382352941176478</v>
      </c>
      <c r="S12" s="11">
        <f t="shared" si="15"/>
        <v>76.382352941176478</v>
      </c>
      <c r="U12" s="151"/>
      <c r="V12" s="150"/>
      <c r="W12" s="150"/>
      <c r="X12" s="150"/>
    </row>
    <row r="13" spans="1:24" s="57" customFormat="1" ht="18.75" x14ac:dyDescent="0.25">
      <c r="A13" s="46">
        <v>6</v>
      </c>
      <c r="B13" s="33">
        <v>3</v>
      </c>
      <c r="C13" s="59">
        <v>6</v>
      </c>
      <c r="D13" s="12">
        <f t="shared" si="6"/>
        <v>7800000</v>
      </c>
      <c r="E13" s="12">
        <f t="shared" si="7"/>
        <v>20670000</v>
      </c>
      <c r="F13" s="32">
        <f t="shared" si="8"/>
        <v>1037000</v>
      </c>
      <c r="G13" s="32">
        <f t="shared" si="9"/>
        <v>122000</v>
      </c>
      <c r="H13" s="12">
        <f t="shared" si="0"/>
        <v>152500</v>
      </c>
      <c r="I13" s="12">
        <f t="shared" si="1"/>
        <v>213500</v>
      </c>
      <c r="J13" s="13">
        <f t="shared" si="10"/>
        <v>1814750</v>
      </c>
      <c r="K13" s="13">
        <f t="shared" si="11"/>
        <v>244000</v>
      </c>
      <c r="L13" s="13">
        <f t="shared" si="12"/>
        <v>305000</v>
      </c>
      <c r="M13" s="4">
        <f t="shared" si="2"/>
        <v>2100</v>
      </c>
      <c r="N13" s="4">
        <f t="shared" si="13"/>
        <v>5565</v>
      </c>
      <c r="O13" s="4">
        <f t="shared" si="14"/>
        <v>278.25</v>
      </c>
      <c r="P13" s="155">
        <f t="shared" si="3"/>
        <v>32.735294117647058</v>
      </c>
      <c r="Q13" s="4">
        <f t="shared" si="4"/>
        <v>40.919117647058826</v>
      </c>
      <c r="R13" s="4">
        <f t="shared" si="5"/>
        <v>57.286764705882348</v>
      </c>
      <c r="S13" s="11">
        <f t="shared" si="15"/>
        <v>57.286764705882348</v>
      </c>
      <c r="U13" s="151"/>
      <c r="V13" s="150"/>
      <c r="W13" s="150"/>
      <c r="X13" s="150"/>
    </row>
    <row r="14" spans="1:24" s="57" customFormat="1" ht="18.75" x14ac:dyDescent="0.25">
      <c r="A14" s="47">
        <v>7</v>
      </c>
      <c r="B14" s="34">
        <v>2</v>
      </c>
      <c r="C14" s="59">
        <v>4</v>
      </c>
      <c r="D14" s="12">
        <f t="shared" si="6"/>
        <v>5200000</v>
      </c>
      <c r="E14" s="12">
        <f>CEILING(D14*2.65,1000)</f>
        <v>13780000</v>
      </c>
      <c r="F14" s="32">
        <f>CEILING(G14*8.5,1000)</f>
        <v>697000</v>
      </c>
      <c r="G14" s="32">
        <f>CEILING(E14/170,1000)</f>
        <v>82000</v>
      </c>
      <c r="H14" s="12">
        <f>+G14*1.25</f>
        <v>102500</v>
      </c>
      <c r="I14" s="12">
        <f>+G14*1.75</f>
        <v>143500</v>
      </c>
      <c r="J14" s="13">
        <f t="shared" si="10"/>
        <v>1219750</v>
      </c>
      <c r="K14" s="13">
        <f t="shared" si="11"/>
        <v>164000</v>
      </c>
      <c r="L14" s="13">
        <f t="shared" si="12"/>
        <v>205000</v>
      </c>
      <c r="M14" s="4">
        <f t="shared" si="2"/>
        <v>1400</v>
      </c>
      <c r="N14" s="4">
        <f>M14*2.65</f>
        <v>3710</v>
      </c>
      <c r="O14" s="4">
        <f>N14/20</f>
        <v>185.5</v>
      </c>
      <c r="P14" s="4">
        <f>N14/170</f>
        <v>21.823529411764707</v>
      </c>
      <c r="Q14" s="4">
        <f>+P14*1.25</f>
        <v>27.279411764705884</v>
      </c>
      <c r="R14" s="4">
        <f>+P14*1.75</f>
        <v>38.191176470588239</v>
      </c>
      <c r="S14" s="11">
        <f>+P14*1.75</f>
        <v>38.191176470588239</v>
      </c>
      <c r="U14" s="151"/>
      <c r="V14" s="150"/>
      <c r="W14" s="150"/>
      <c r="X14" s="150"/>
    </row>
    <row r="15" spans="1:24" s="57" customFormat="1" ht="18.75" x14ac:dyDescent="0.25">
      <c r="A15" s="46">
        <v>8</v>
      </c>
      <c r="B15" s="33">
        <v>0</v>
      </c>
      <c r="C15" s="59">
        <v>3</v>
      </c>
      <c r="D15" s="12">
        <f t="shared" si="6"/>
        <v>3900000</v>
      </c>
      <c r="E15" s="12">
        <f>CEILING(D15*2.65,1000)</f>
        <v>10335000</v>
      </c>
      <c r="F15" s="32">
        <f>CEILING(G15*8.5,1000)</f>
        <v>519000</v>
      </c>
      <c r="G15" s="32">
        <f>CEILING(E15/170,1000)</f>
        <v>61000</v>
      </c>
      <c r="H15" s="12">
        <f>+G15*1.25</f>
        <v>76250</v>
      </c>
      <c r="I15" s="12">
        <f>+G15*1.75</f>
        <v>106750</v>
      </c>
      <c r="J15" s="13">
        <f t="shared" si="10"/>
        <v>908250</v>
      </c>
      <c r="K15" s="13">
        <f t="shared" si="11"/>
        <v>122000</v>
      </c>
      <c r="L15" s="13">
        <f t="shared" si="12"/>
        <v>152500</v>
      </c>
      <c r="M15" s="4">
        <f t="shared" si="2"/>
        <v>1100</v>
      </c>
      <c r="N15" s="4">
        <f>M15*2.65</f>
        <v>2915</v>
      </c>
      <c r="O15" s="4">
        <f>N15/20</f>
        <v>145.75</v>
      </c>
      <c r="P15" s="4">
        <f>N15/170</f>
        <v>17.147058823529413</v>
      </c>
      <c r="Q15" s="4">
        <f>+P15*1.25</f>
        <v>21.433823529411768</v>
      </c>
      <c r="R15" s="4">
        <f>+P15*1.75</f>
        <v>30.007352941176471</v>
      </c>
      <c r="S15" s="11">
        <f>+P15*1.75</f>
        <v>30.007352941176471</v>
      </c>
      <c r="U15" s="151"/>
      <c r="V15" s="150"/>
      <c r="W15" s="150"/>
      <c r="X15" s="150"/>
    </row>
    <row r="16" spans="1:24" s="57" customFormat="1" ht="19.5" thickBot="1" x14ac:dyDescent="0.3">
      <c r="A16" s="48" t="s">
        <v>66</v>
      </c>
      <c r="B16" s="110"/>
      <c r="C16" s="111">
        <v>2</v>
      </c>
      <c r="D16" s="49">
        <f t="shared" si="6"/>
        <v>2600000</v>
      </c>
      <c r="E16" s="49">
        <f t="shared" si="7"/>
        <v>6890000</v>
      </c>
      <c r="F16" s="112">
        <f t="shared" si="8"/>
        <v>349000</v>
      </c>
      <c r="G16" s="112">
        <f t="shared" si="9"/>
        <v>41000</v>
      </c>
      <c r="H16" s="49">
        <f>+G16*1.25</f>
        <v>51250</v>
      </c>
      <c r="I16" s="49">
        <f>+G16*1.75</f>
        <v>71750</v>
      </c>
      <c r="J16" s="13">
        <f t="shared" si="10"/>
        <v>610750</v>
      </c>
      <c r="K16" s="13">
        <f t="shared" si="11"/>
        <v>82000</v>
      </c>
      <c r="L16" s="13">
        <f t="shared" si="12"/>
        <v>102500</v>
      </c>
      <c r="M16" s="5">
        <f t="shared" si="2"/>
        <v>700</v>
      </c>
      <c r="N16" s="5">
        <f t="shared" si="13"/>
        <v>1855</v>
      </c>
      <c r="O16" s="5">
        <f t="shared" si="14"/>
        <v>92.75</v>
      </c>
      <c r="P16" s="5">
        <f>N16/170</f>
        <v>10.911764705882353</v>
      </c>
      <c r="Q16" s="5">
        <f>+P16*1.25</f>
        <v>13.639705882352942</v>
      </c>
      <c r="R16" s="5">
        <f>+P16*1.75</f>
        <v>19.09558823529412</v>
      </c>
      <c r="S16" s="16">
        <f t="shared" si="15"/>
        <v>19.09558823529412</v>
      </c>
      <c r="U16" s="151"/>
      <c r="V16" s="150"/>
      <c r="W16" s="150"/>
      <c r="X16" s="150"/>
    </row>
    <row r="17" spans="4:24" s="57" customFormat="1" ht="18.75" thickBot="1" x14ac:dyDescent="0.3">
      <c r="U17" s="152"/>
      <c r="V17" s="150"/>
      <c r="W17" s="150"/>
      <c r="X17" s="150"/>
    </row>
    <row r="18" spans="4:24" ht="19.5" customHeight="1" x14ac:dyDescent="0.25">
      <c r="D18" s="139" t="s">
        <v>60</v>
      </c>
      <c r="E18" s="180" t="s">
        <v>4</v>
      </c>
      <c r="F18" s="181"/>
      <c r="G18" s="182" t="s">
        <v>64</v>
      </c>
      <c r="H18" s="183"/>
      <c r="M18" s="143" t="s">
        <v>69</v>
      </c>
      <c r="N18" s="175">
        <v>1300000</v>
      </c>
      <c r="O18" s="174"/>
      <c r="V18" s="58"/>
    </row>
    <row r="19" spans="4:24" ht="18.75" thickBot="1" x14ac:dyDescent="0.3">
      <c r="D19" s="140" t="s">
        <v>11</v>
      </c>
      <c r="E19" s="62" t="s">
        <v>22</v>
      </c>
      <c r="F19" s="63" t="s">
        <v>14</v>
      </c>
      <c r="G19" s="136" t="s">
        <v>21</v>
      </c>
      <c r="H19" s="63" t="s">
        <v>14</v>
      </c>
      <c r="M19" s="179" t="s">
        <v>71</v>
      </c>
      <c r="N19" s="176">
        <v>3800</v>
      </c>
      <c r="O19" s="174"/>
      <c r="U19" s="14"/>
      <c r="V19" s="58"/>
    </row>
    <row r="20" spans="4:24" ht="18.75" thickBot="1" x14ac:dyDescent="0.3">
      <c r="D20" s="141" t="s">
        <v>16</v>
      </c>
      <c r="E20" s="137">
        <f>CEILING(G20*1.2,1000)</f>
        <v>18000</v>
      </c>
      <c r="F20" s="61">
        <f>H20*1.32</f>
        <v>17.8992</v>
      </c>
      <c r="G20" s="137">
        <f>CEILING(13000*1.13,1000)</f>
        <v>15000</v>
      </c>
      <c r="H20" s="61">
        <f>12*1.13</f>
        <v>13.559999999999999</v>
      </c>
      <c r="U20" s="14"/>
      <c r="V20" s="58"/>
    </row>
    <row r="21" spans="4:24" ht="30.75" x14ac:dyDescent="0.25">
      <c r="D21" s="141" t="s">
        <v>17</v>
      </c>
      <c r="E21" s="137">
        <f>CEILING(G21*1.2,1000)</f>
        <v>29000</v>
      </c>
      <c r="F21" s="61">
        <f>H21*1.32</f>
        <v>25.357199999999999</v>
      </c>
      <c r="G21" s="137">
        <f>CEILING(21000*1.13,1000)</f>
        <v>24000</v>
      </c>
      <c r="H21" s="61">
        <f>17*1.13</f>
        <v>19.209999999999997</v>
      </c>
      <c r="K21" s="135"/>
      <c r="M21" s="177" t="s">
        <v>70</v>
      </c>
      <c r="N21" s="178">
        <v>0.13</v>
      </c>
      <c r="U21" s="14"/>
      <c r="V21" s="58"/>
    </row>
    <row r="22" spans="4:24" ht="18" x14ac:dyDescent="0.25">
      <c r="D22" s="141" t="s">
        <v>18</v>
      </c>
      <c r="E22" s="137">
        <f>CEILING(G22*1.2,1000)</f>
        <v>29000</v>
      </c>
      <c r="F22" s="61">
        <f>H22*1.32</f>
        <v>25.357199999999999</v>
      </c>
      <c r="G22" s="137">
        <f>CEILING(21000*1.13,1000)</f>
        <v>24000</v>
      </c>
      <c r="H22" s="61">
        <f>17*1.13</f>
        <v>19.209999999999997</v>
      </c>
      <c r="K22" s="117"/>
      <c r="M22" s="77"/>
      <c r="N22" s="83"/>
      <c r="O22" s="153"/>
      <c r="V22" s="58"/>
    </row>
    <row r="23" spans="4:24" ht="18" x14ac:dyDescent="0.25">
      <c r="D23" s="148" t="s">
        <v>67</v>
      </c>
      <c r="E23" s="137">
        <f>CEILING(G23*1.2,1000)</f>
        <v>17000</v>
      </c>
      <c r="F23" s="61">
        <f>H23*1.32</f>
        <v>17.8992</v>
      </c>
      <c r="G23" s="137">
        <f>CEILING(12000*1.13,1000)</f>
        <v>14000</v>
      </c>
      <c r="H23" s="61">
        <f>12*1.13</f>
        <v>13.559999999999999</v>
      </c>
      <c r="K23" s="117"/>
      <c r="M23" s="77"/>
      <c r="N23" s="83"/>
      <c r="V23" s="58"/>
    </row>
    <row r="24" spans="4:24" ht="18.75" thickBot="1" x14ac:dyDescent="0.3">
      <c r="D24" s="142" t="s">
        <v>19</v>
      </c>
      <c r="E24" s="138">
        <f>SUM(E20:E23)</f>
        <v>93000</v>
      </c>
      <c r="F24" s="138">
        <f>SUM(F20:F23)</f>
        <v>86.512799999999999</v>
      </c>
      <c r="G24" s="138">
        <f>SUM(G20:G23)</f>
        <v>77000</v>
      </c>
      <c r="H24" s="138">
        <f>SUM(H20:H23)</f>
        <v>65.539999999999992</v>
      </c>
      <c r="K24" s="117"/>
      <c r="M24" s="77"/>
      <c r="N24" s="78"/>
      <c r="O24" s="77"/>
    </row>
    <row r="25" spans="4:24" ht="19.5" thickBot="1" x14ac:dyDescent="0.3">
      <c r="D25" s="170" t="s">
        <v>68</v>
      </c>
      <c r="E25" s="171"/>
      <c r="F25" s="171"/>
      <c r="G25" s="171"/>
      <c r="H25" s="172"/>
      <c r="K25" s="149"/>
      <c r="L25" s="150"/>
      <c r="M25" s="150"/>
      <c r="N25" s="150"/>
      <c r="O25" s="77"/>
    </row>
    <row r="26" spans="4:24" ht="18.75" customHeight="1" x14ac:dyDescent="0.25">
      <c r="E26" s="60"/>
      <c r="F26" s="117"/>
      <c r="G26" s="60"/>
      <c r="H26" s="57"/>
      <c r="J26" s="83"/>
      <c r="P26" s="85"/>
      <c r="U26" s="83"/>
    </row>
    <row r="27" spans="4:24" ht="18" x14ac:dyDescent="0.25">
      <c r="F27" s="83"/>
      <c r="G27" s="83"/>
      <c r="H27" s="83"/>
      <c r="I27" s="83"/>
      <c r="J27" s="60"/>
      <c r="K27" s="60"/>
      <c r="L27" s="60"/>
      <c r="M27" s="57"/>
    </row>
    <row r="28" spans="4:24" ht="18" x14ac:dyDescent="0.25">
      <c r="I28" s="57"/>
      <c r="J28" s="60"/>
      <c r="K28" s="60"/>
      <c r="L28" s="60"/>
      <c r="M28" s="57"/>
    </row>
    <row r="29" spans="4:24" ht="18" x14ac:dyDescent="0.25">
      <c r="I29" s="57"/>
      <c r="J29" s="60"/>
      <c r="K29" s="60"/>
      <c r="L29" s="60"/>
      <c r="M29" s="57"/>
    </row>
    <row r="30" spans="4:24" ht="18" x14ac:dyDescent="0.25">
      <c r="I30" s="57"/>
      <c r="J30" s="60"/>
      <c r="K30" s="60"/>
      <c r="L30" s="60"/>
      <c r="M30" s="57"/>
    </row>
    <row r="31" spans="4:24" ht="18" x14ac:dyDescent="0.25">
      <c r="I31" s="57"/>
      <c r="J31" s="60"/>
      <c r="K31" s="60"/>
      <c r="L31" s="60"/>
      <c r="M31" s="57"/>
    </row>
    <row r="32" spans="4:24" ht="18" x14ac:dyDescent="0.25">
      <c r="I32" s="57"/>
      <c r="J32" s="60"/>
      <c r="K32" s="60"/>
      <c r="L32" s="60"/>
      <c r="M32" s="57"/>
    </row>
    <row r="33" spans="9:25" ht="18" x14ac:dyDescent="0.25">
      <c r="I33" s="57"/>
      <c r="J33" s="60"/>
      <c r="K33" s="60"/>
      <c r="L33" s="60"/>
      <c r="M33" s="57"/>
    </row>
    <row r="34" spans="9:25" ht="18" x14ac:dyDescent="0.25">
      <c r="I34" s="57"/>
      <c r="J34" s="60"/>
      <c r="K34" s="60"/>
      <c r="L34" s="60"/>
      <c r="M34" s="57"/>
    </row>
    <row r="35" spans="9:25" ht="18" x14ac:dyDescent="0.25">
      <c r="I35" s="57"/>
      <c r="J35" s="60"/>
      <c r="K35" s="60"/>
      <c r="L35" s="60"/>
      <c r="M35" s="57"/>
    </row>
    <row r="36" spans="9:25" ht="18" x14ac:dyDescent="0.25">
      <c r="I36" s="57"/>
      <c r="J36" s="60"/>
      <c r="K36" s="60"/>
      <c r="L36" s="60"/>
      <c r="M36" s="57"/>
    </row>
    <row r="37" spans="9:25" ht="18" x14ac:dyDescent="0.25">
      <c r="T37" s="57"/>
      <c r="U37" s="60"/>
      <c r="V37" s="57"/>
      <c r="W37" s="57"/>
      <c r="X37" s="57"/>
      <c r="Y37" s="57"/>
    </row>
  </sheetData>
  <mergeCells count="2">
    <mergeCell ref="E18:F18"/>
    <mergeCell ref="G18:H18"/>
  </mergeCells>
  <phoneticPr fontId="0" type="noConversion"/>
  <printOptions horizontalCentered="1" verticalCentered="1"/>
  <pageMargins left="0.51181102362204722" right="0.74803149606299213" top="0.86614173228346458" bottom="0.98425196850393704" header="0.31496062992125984" footer="0"/>
  <pageSetup scale="43" orientation="landscape" horizontalDpi="300" verticalDpi="300" r:id="rId1"/>
  <headerFooter alignWithMargins="0">
    <oddHeader>&amp;L&amp;8Archivo:&amp;F</oddHeader>
    <oddFooter xml:space="preserve">&amp;L&amp;8Aprobada: LUIS EDUARDO ARAGÓN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J4" sqref="J4"/>
    </sheetView>
  </sheetViews>
  <sheetFormatPr baseColWidth="10" defaultRowHeight="12.75" x14ac:dyDescent="0.2"/>
  <cols>
    <col min="1" max="1" width="26.5703125" customWidth="1"/>
    <col min="2" max="2" width="13.5703125" bestFit="1" customWidth="1"/>
    <col min="3" max="3" width="7.5703125" customWidth="1"/>
    <col min="4" max="4" width="6" customWidth="1"/>
    <col min="5" max="5" width="15.42578125" bestFit="1" customWidth="1"/>
    <col min="6" max="6" width="11.7109375" bestFit="1" customWidth="1"/>
    <col min="7" max="8" width="6" customWidth="1"/>
    <col min="9" max="9" width="15.42578125" bestFit="1" customWidth="1"/>
    <col min="10" max="10" width="13.140625" bestFit="1" customWidth="1"/>
  </cols>
  <sheetData>
    <row r="1" spans="1:11" x14ac:dyDescent="0.2">
      <c r="A1" s="23" t="s">
        <v>42</v>
      </c>
      <c r="E1" t="s">
        <v>24</v>
      </c>
    </row>
    <row r="2" spans="1:11" ht="13.5" thickBot="1" x14ac:dyDescent="0.25">
      <c r="A2" s="23"/>
    </row>
    <row r="3" spans="1:11" x14ac:dyDescent="0.2">
      <c r="A3" s="23"/>
      <c r="B3" s="73" t="s">
        <v>48</v>
      </c>
      <c r="D3" s="86"/>
      <c r="E3" s="87"/>
      <c r="F3" s="87"/>
      <c r="G3" s="88"/>
      <c r="J3" s="73" t="s">
        <v>45</v>
      </c>
      <c r="K3" s="71" t="s">
        <v>41</v>
      </c>
    </row>
    <row r="4" spans="1:11" ht="13.5" customHeight="1" x14ac:dyDescent="0.2">
      <c r="A4" s="52" t="s">
        <v>47</v>
      </c>
      <c r="B4" s="74">
        <f>+PERSONAL!F8</f>
        <v>3621000</v>
      </c>
      <c r="C4" s="71"/>
      <c r="D4" s="89"/>
      <c r="E4" s="118" t="s">
        <v>44</v>
      </c>
      <c r="F4" s="119">
        <f>+PERSONAL!F11</f>
        <v>1726000</v>
      </c>
      <c r="G4" s="90"/>
      <c r="H4" s="80"/>
      <c r="I4" s="52" t="s">
        <v>43</v>
      </c>
      <c r="J4" s="74">
        <f>+PERSONAL!F13</f>
        <v>1037000</v>
      </c>
      <c r="K4" s="75">
        <f>+J4/2000</f>
        <v>518.5</v>
      </c>
    </row>
    <row r="5" spans="1:11" x14ac:dyDescent="0.2">
      <c r="A5" s="96" t="s">
        <v>50</v>
      </c>
      <c r="B5" s="74">
        <f>+PERSONAL!F15</f>
        <v>519000</v>
      </c>
      <c r="D5" s="91"/>
      <c r="E5" s="118" t="s">
        <v>46</v>
      </c>
      <c r="F5" s="119">
        <f>+PERSONAL!F16</f>
        <v>349000</v>
      </c>
      <c r="G5" s="90"/>
      <c r="H5" s="80"/>
      <c r="I5" s="52" t="s">
        <v>46</v>
      </c>
      <c r="J5" s="74">
        <f>+PERSONAL!F16</f>
        <v>349000</v>
      </c>
      <c r="K5" s="75">
        <f>+J5/2000</f>
        <v>174.5</v>
      </c>
    </row>
    <row r="6" spans="1:11" x14ac:dyDescent="0.2">
      <c r="A6" s="113" t="s">
        <v>25</v>
      </c>
      <c r="B6" s="114">
        <f>SUM(B4:B5)</f>
        <v>4140000</v>
      </c>
      <c r="D6" s="91"/>
      <c r="E6" s="113" t="s">
        <v>25</v>
      </c>
      <c r="F6" s="114">
        <f>SUM(F4:F5)</f>
        <v>2075000</v>
      </c>
      <c r="G6" s="92"/>
      <c r="H6" s="81"/>
      <c r="I6" s="113" t="s">
        <v>25</v>
      </c>
      <c r="J6" s="114">
        <f>SUM(J4:J5)</f>
        <v>1386000</v>
      </c>
      <c r="K6" s="76">
        <f>+J6/2000</f>
        <v>693</v>
      </c>
    </row>
    <row r="7" spans="1:11" ht="13.5" thickBot="1" x14ac:dyDescent="0.25">
      <c r="D7" s="93"/>
      <c r="E7" s="94"/>
      <c r="F7" s="94"/>
      <c r="G7" s="95"/>
    </row>
    <row r="9" spans="1:11" ht="25.5" x14ac:dyDescent="0.2">
      <c r="A9" s="115" t="s">
        <v>23</v>
      </c>
      <c r="B9" s="79"/>
      <c r="C9" s="79"/>
      <c r="D9" s="79"/>
    </row>
    <row r="10" spans="1:11" x14ac:dyDescent="0.2">
      <c r="A10" s="116">
        <f>PERSONAL!N18*0.4</f>
        <v>520000</v>
      </c>
      <c r="B10" s="79"/>
      <c r="C10" s="79"/>
      <c r="D10" s="79"/>
    </row>
  </sheetData>
  <phoneticPr fontId="0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5"/>
  <sheetViews>
    <sheetView zoomScaleNormal="100" workbookViewId="0">
      <selection activeCell="B25" sqref="B25"/>
    </sheetView>
  </sheetViews>
  <sheetFormatPr baseColWidth="10" defaultColWidth="11.42578125" defaultRowHeight="12.75" x14ac:dyDescent="0.2"/>
  <cols>
    <col min="1" max="1" width="13.42578125" style="50" bestFit="1" customWidth="1"/>
    <col min="2" max="2" width="11.85546875" style="50" customWidth="1"/>
    <col min="3" max="3" width="10.28515625" style="50" bestFit="1" customWidth="1"/>
    <col min="4" max="6" width="8.5703125" style="50" customWidth="1"/>
    <col min="7" max="7" width="13.7109375" style="50" customWidth="1"/>
    <col min="8" max="9" width="8.5703125" style="50" customWidth="1"/>
    <col min="10" max="10" width="16.7109375" style="50" customWidth="1"/>
    <col min="11" max="17" width="8.5703125" style="50" customWidth="1"/>
    <col min="18" max="18" width="8.5703125" style="147" customWidth="1"/>
    <col min="19" max="19" width="8.5703125" style="50" customWidth="1"/>
    <col min="20" max="20" width="8.5703125" style="147" customWidth="1"/>
    <col min="21" max="21" width="8.5703125" style="50" customWidth="1"/>
    <col min="22" max="22" width="7.5703125" style="50" bestFit="1" customWidth="1"/>
    <col min="23" max="16384" width="11.42578125" style="50"/>
  </cols>
  <sheetData>
    <row r="1" spans="1:3" x14ac:dyDescent="0.2">
      <c r="A1" s="161"/>
      <c r="B1" s="162">
        <v>2024</v>
      </c>
      <c r="C1" s="163" t="s">
        <v>65</v>
      </c>
    </row>
    <row r="2" spans="1:3" x14ac:dyDescent="0.2">
      <c r="A2" s="164" t="s">
        <v>40</v>
      </c>
      <c r="B2" s="120">
        <v>1300000</v>
      </c>
      <c r="C2" s="165">
        <f>B2-B7</f>
        <v>140000</v>
      </c>
    </row>
    <row r="3" spans="1:3" x14ac:dyDescent="0.2">
      <c r="A3" s="164" t="s">
        <v>38</v>
      </c>
      <c r="B3" s="121">
        <v>0.1207</v>
      </c>
      <c r="C3" s="166">
        <f>B3-B8</f>
        <v>-3.9300000000000002E-2</v>
      </c>
    </row>
    <row r="4" spans="1:3" x14ac:dyDescent="0.2">
      <c r="A4" s="164" t="s">
        <v>20</v>
      </c>
      <c r="B4" s="120">
        <v>162000</v>
      </c>
      <c r="C4" s="165">
        <f>B4-B9</f>
        <v>21394</v>
      </c>
    </row>
    <row r="5" spans="1:3" ht="13.5" thickBot="1" x14ac:dyDescent="0.25">
      <c r="A5" s="167" t="s">
        <v>39</v>
      </c>
      <c r="B5" s="168">
        <v>3900</v>
      </c>
      <c r="C5" s="169">
        <f>B5-B10</f>
        <v>-100.38000000000011</v>
      </c>
    </row>
    <row r="6" spans="1:3" x14ac:dyDescent="0.2">
      <c r="A6" s="161"/>
      <c r="B6" s="162">
        <v>2023</v>
      </c>
      <c r="C6" s="163" t="s">
        <v>65</v>
      </c>
    </row>
    <row r="7" spans="1:3" x14ac:dyDescent="0.2">
      <c r="A7" s="164" t="s">
        <v>40</v>
      </c>
      <c r="B7" s="120">
        <v>1160000</v>
      </c>
      <c r="C7" s="165">
        <f>B7-B12</f>
        <v>160000</v>
      </c>
    </row>
    <row r="8" spans="1:3" x14ac:dyDescent="0.2">
      <c r="A8" s="164" t="s">
        <v>38</v>
      </c>
      <c r="B8" s="121">
        <v>0.16</v>
      </c>
      <c r="C8" s="166">
        <f>B8-B13</f>
        <v>5.9300000000000005E-2</v>
      </c>
    </row>
    <row r="9" spans="1:3" x14ac:dyDescent="0.2">
      <c r="A9" s="164" t="s">
        <v>20</v>
      </c>
      <c r="B9" s="120">
        <v>140606</v>
      </c>
      <c r="C9" s="165">
        <f>B9-B14</f>
        <v>23434</v>
      </c>
    </row>
    <row r="10" spans="1:3" ht="13.5" thickBot="1" x14ac:dyDescent="0.25">
      <c r="A10" s="167" t="s">
        <v>39</v>
      </c>
      <c r="B10" s="168">
        <v>4000.38</v>
      </c>
      <c r="C10" s="169">
        <f>B10-B15</f>
        <v>0</v>
      </c>
    </row>
    <row r="11" spans="1:3" x14ac:dyDescent="0.2">
      <c r="A11" s="161"/>
      <c r="B11" s="162">
        <v>2022</v>
      </c>
      <c r="C11" s="163" t="s">
        <v>65</v>
      </c>
    </row>
    <row r="12" spans="1:3" x14ac:dyDescent="0.2">
      <c r="A12" s="164" t="s">
        <v>40</v>
      </c>
      <c r="B12" s="120">
        <v>1000000</v>
      </c>
      <c r="C12" s="165">
        <f>B12-B17</f>
        <v>91474</v>
      </c>
    </row>
    <row r="13" spans="1:3" x14ac:dyDescent="0.2">
      <c r="A13" s="164" t="s">
        <v>38</v>
      </c>
      <c r="B13" s="121">
        <v>0.1007</v>
      </c>
      <c r="C13" s="166">
        <f>B13-B18</f>
        <v>6.5700119616816072E-2</v>
      </c>
    </row>
    <row r="14" spans="1:3" x14ac:dyDescent="0.2">
      <c r="A14" s="164" t="s">
        <v>20</v>
      </c>
      <c r="B14" s="120">
        <v>117172</v>
      </c>
      <c r="C14" s="165">
        <f>B14-B19</f>
        <v>10718</v>
      </c>
    </row>
    <row r="15" spans="1:3" ht="13.5" thickBot="1" x14ac:dyDescent="0.25">
      <c r="A15" s="167" t="s">
        <v>39</v>
      </c>
      <c r="B15" s="168">
        <v>4000.38</v>
      </c>
      <c r="C15" s="169">
        <f>B15-B20</f>
        <v>519.38000000000011</v>
      </c>
    </row>
    <row r="16" spans="1:3" s="73" customFormat="1" x14ac:dyDescent="0.2">
      <c r="A16" s="161"/>
      <c r="B16" s="162">
        <v>2021</v>
      </c>
      <c r="C16" s="163" t="s">
        <v>65</v>
      </c>
    </row>
    <row r="17" spans="1:22" x14ac:dyDescent="0.2">
      <c r="A17" s="164" t="s">
        <v>40</v>
      </c>
      <c r="B17" s="120">
        <v>908526</v>
      </c>
      <c r="C17" s="165">
        <f>B17-B22</f>
        <v>30723</v>
      </c>
    </row>
    <row r="18" spans="1:22" x14ac:dyDescent="0.2">
      <c r="A18" s="164" t="s">
        <v>38</v>
      </c>
      <c r="B18" s="121">
        <f>+(((B17-B22)/B22))</f>
        <v>3.4999880383183926E-2</v>
      </c>
      <c r="C18" s="166">
        <f>B18-B23</f>
        <v>-2.5000167919227816E-2</v>
      </c>
    </row>
    <row r="19" spans="1:22" x14ac:dyDescent="0.2">
      <c r="A19" s="164" t="s">
        <v>20</v>
      </c>
      <c r="B19" s="120">
        <v>106454</v>
      </c>
      <c r="C19" s="165">
        <f>B19-B24</f>
        <v>3600</v>
      </c>
    </row>
    <row r="20" spans="1:22" ht="13.5" thickBot="1" x14ac:dyDescent="0.25">
      <c r="A20" s="167" t="s">
        <v>39</v>
      </c>
      <c r="B20" s="168">
        <v>3481</v>
      </c>
      <c r="C20" s="169" t="e">
        <f>B20-B25</f>
        <v>#VALUE!</v>
      </c>
      <c r="J20" s="83"/>
      <c r="R20" s="50"/>
      <c r="T20" s="50"/>
    </row>
    <row r="21" spans="1:22" x14ac:dyDescent="0.2">
      <c r="A21" s="158"/>
      <c r="B21" s="159">
        <v>2020</v>
      </c>
      <c r="C21" s="160"/>
      <c r="R21" s="156"/>
      <c r="S21" s="156"/>
      <c r="T21" s="156"/>
      <c r="U21" s="156"/>
      <c r="V21" s="156"/>
    </row>
    <row r="22" spans="1:22" x14ac:dyDescent="0.2">
      <c r="A22" s="72" t="s">
        <v>40</v>
      </c>
      <c r="B22" s="55">
        <v>877803</v>
      </c>
      <c r="C22" s="157">
        <f t="shared" ref="C22:C84" si="0">B22-B27</f>
        <v>49687</v>
      </c>
      <c r="E22" s="173"/>
      <c r="R22" s="156"/>
      <c r="S22" s="156"/>
      <c r="T22" s="156"/>
      <c r="U22" s="156"/>
      <c r="V22" s="156"/>
    </row>
    <row r="23" spans="1:22" x14ac:dyDescent="0.2">
      <c r="A23" s="72" t="s">
        <v>38</v>
      </c>
      <c r="B23" s="146">
        <f>+(((B22-B27)/B27))</f>
        <v>6.0000048302411742E-2</v>
      </c>
      <c r="C23" s="154">
        <f t="shared" si="0"/>
        <v>7.1390922755376618E-7</v>
      </c>
      <c r="R23" s="156"/>
      <c r="S23" s="156"/>
      <c r="T23" s="156"/>
      <c r="U23" s="156"/>
      <c r="V23" s="156"/>
    </row>
    <row r="24" spans="1:22" x14ac:dyDescent="0.2">
      <c r="A24" s="72" t="s">
        <v>20</v>
      </c>
      <c r="B24" s="55">
        <v>102854</v>
      </c>
      <c r="C24" s="157">
        <f t="shared" si="0"/>
        <v>5822</v>
      </c>
      <c r="R24" s="156"/>
      <c r="S24" s="156"/>
      <c r="T24" s="156"/>
      <c r="U24" s="156"/>
      <c r="V24" s="156"/>
    </row>
    <row r="25" spans="1:22" x14ac:dyDescent="0.2">
      <c r="A25" s="72" t="s">
        <v>39</v>
      </c>
      <c r="B25" s="55" t="s">
        <v>72</v>
      </c>
      <c r="C25" s="157" t="e">
        <f t="shared" si="0"/>
        <v>#VALUE!</v>
      </c>
      <c r="R25" s="156"/>
      <c r="S25" s="156"/>
      <c r="T25" s="156"/>
      <c r="U25" s="156"/>
      <c r="V25" s="156"/>
    </row>
    <row r="26" spans="1:22" x14ac:dyDescent="0.2">
      <c r="A26" s="72"/>
      <c r="B26" s="145">
        <v>2019</v>
      </c>
      <c r="C26" s="157"/>
      <c r="R26" s="156"/>
      <c r="S26" s="156"/>
      <c r="T26" s="156"/>
      <c r="U26" s="156"/>
      <c r="V26" s="156"/>
    </row>
    <row r="27" spans="1:22" x14ac:dyDescent="0.2">
      <c r="A27" s="72" t="s">
        <v>40</v>
      </c>
      <c r="B27" s="55">
        <v>828116</v>
      </c>
      <c r="C27" s="157">
        <f t="shared" si="0"/>
        <v>46874</v>
      </c>
      <c r="R27" s="156"/>
      <c r="S27" s="156"/>
      <c r="T27" s="156"/>
      <c r="U27" s="156"/>
      <c r="V27" s="156"/>
    </row>
    <row r="28" spans="1:22" x14ac:dyDescent="0.2">
      <c r="A28" s="72" t="s">
        <v>38</v>
      </c>
      <c r="B28" s="146">
        <f>+(((B27-B32)/B32))</f>
        <v>5.9999334393184188E-2</v>
      </c>
      <c r="C28" s="154">
        <f t="shared" si="0"/>
        <v>9.9974511979072922E-4</v>
      </c>
      <c r="R28" s="156"/>
      <c r="S28" s="156"/>
      <c r="T28" s="156"/>
      <c r="U28" s="156"/>
      <c r="V28" s="156"/>
    </row>
    <row r="29" spans="1:22" x14ac:dyDescent="0.2">
      <c r="A29" s="72" t="s">
        <v>20</v>
      </c>
      <c r="B29" s="55">
        <v>97032</v>
      </c>
      <c r="C29" s="157">
        <f t="shared" si="0"/>
        <v>8821</v>
      </c>
      <c r="R29" s="156"/>
      <c r="S29" s="156"/>
      <c r="T29" s="156"/>
      <c r="U29" s="156"/>
      <c r="V29" s="156"/>
    </row>
    <row r="30" spans="1:22" x14ac:dyDescent="0.2">
      <c r="A30" s="72" t="s">
        <v>39</v>
      </c>
      <c r="B30" s="55">
        <v>3128</v>
      </c>
      <c r="C30" s="157">
        <f t="shared" si="0"/>
        <v>186</v>
      </c>
      <c r="R30" s="156"/>
      <c r="S30" s="156"/>
      <c r="T30" s="156"/>
      <c r="U30" s="156"/>
      <c r="V30" s="156"/>
    </row>
    <row r="31" spans="1:22" x14ac:dyDescent="0.2">
      <c r="A31" s="72"/>
      <c r="B31" s="145">
        <v>2018</v>
      </c>
      <c r="C31" s="157"/>
      <c r="R31" s="156"/>
      <c r="S31" s="156"/>
      <c r="T31" s="156"/>
      <c r="U31" s="156"/>
      <c r="V31" s="156"/>
    </row>
    <row r="32" spans="1:22" x14ac:dyDescent="0.2">
      <c r="A32" s="72" t="s">
        <v>40</v>
      </c>
      <c r="B32" s="55">
        <v>781242</v>
      </c>
      <c r="C32" s="157">
        <f t="shared" si="0"/>
        <v>43525</v>
      </c>
      <c r="R32" s="156"/>
      <c r="S32" s="156"/>
      <c r="T32" s="156"/>
      <c r="U32" s="156"/>
      <c r="V32" s="156"/>
    </row>
    <row r="33" spans="1:22" x14ac:dyDescent="0.2">
      <c r="A33" s="72" t="s">
        <v>38</v>
      </c>
      <c r="B33" s="146">
        <f>+(((B32-B37)/B37))</f>
        <v>5.8999589273393459E-2</v>
      </c>
      <c r="C33" s="154">
        <f t="shared" si="0"/>
        <v>-1.1002180242774405E-2</v>
      </c>
      <c r="R33" s="156"/>
      <c r="S33" s="156"/>
      <c r="T33" s="156"/>
      <c r="U33" s="156"/>
      <c r="V33" s="156"/>
    </row>
    <row r="34" spans="1:22" x14ac:dyDescent="0.2">
      <c r="A34" s="72" t="s">
        <v>20</v>
      </c>
      <c r="B34" s="55">
        <v>88211</v>
      </c>
      <c r="C34" s="157">
        <f t="shared" si="0"/>
        <v>5071</v>
      </c>
      <c r="R34" s="156"/>
      <c r="S34" s="156"/>
      <c r="T34" s="156"/>
      <c r="U34" s="156"/>
      <c r="V34" s="156"/>
    </row>
    <row r="35" spans="1:22" x14ac:dyDescent="0.2">
      <c r="A35" s="72" t="s">
        <v>39</v>
      </c>
      <c r="B35" s="55">
        <v>2942</v>
      </c>
      <c r="C35" s="157">
        <f t="shared" si="0"/>
        <v>-58</v>
      </c>
      <c r="R35" s="156"/>
      <c r="S35" s="156"/>
      <c r="T35" s="156"/>
      <c r="U35" s="156"/>
      <c r="V35" s="156"/>
    </row>
    <row r="36" spans="1:22" x14ac:dyDescent="0.2">
      <c r="A36" s="72"/>
      <c r="B36" s="145">
        <v>2017</v>
      </c>
      <c r="C36" s="157"/>
      <c r="S36" s="147"/>
    </row>
    <row r="37" spans="1:22" x14ac:dyDescent="0.2">
      <c r="A37" s="72" t="s">
        <v>40</v>
      </c>
      <c r="B37" s="55">
        <v>737717</v>
      </c>
      <c r="C37" s="157">
        <f t="shared" si="0"/>
        <v>48263</v>
      </c>
      <c r="S37" s="147"/>
    </row>
    <row r="38" spans="1:22" x14ac:dyDescent="0.2">
      <c r="A38" s="72" t="s">
        <v>38</v>
      </c>
      <c r="B38" s="146">
        <f>+(((B37-B42)/B42))</f>
        <v>7.0001769516167864E-2</v>
      </c>
      <c r="C38" s="154">
        <f t="shared" si="0"/>
        <v>2.5454919574258161E-6</v>
      </c>
      <c r="S38" s="147"/>
    </row>
    <row r="39" spans="1:22" x14ac:dyDescent="0.2">
      <c r="A39" s="72" t="s">
        <v>20</v>
      </c>
      <c r="B39" s="55">
        <v>83140</v>
      </c>
      <c r="C39" s="157">
        <f t="shared" si="0"/>
        <v>5440</v>
      </c>
      <c r="S39" s="147"/>
    </row>
    <row r="40" spans="1:22" x14ac:dyDescent="0.2">
      <c r="A40" s="72" t="s">
        <v>39</v>
      </c>
      <c r="B40" s="55">
        <v>3000</v>
      </c>
      <c r="C40" s="157">
        <f t="shared" si="0"/>
        <v>-242</v>
      </c>
      <c r="S40" s="147"/>
    </row>
    <row r="41" spans="1:22" x14ac:dyDescent="0.2">
      <c r="A41" s="72"/>
      <c r="B41" s="72">
        <v>2016</v>
      </c>
      <c r="C41" s="157"/>
      <c r="S41" s="147"/>
    </row>
    <row r="42" spans="1:22" x14ac:dyDescent="0.2">
      <c r="A42" s="72" t="s">
        <v>40</v>
      </c>
      <c r="B42" s="55">
        <v>689454</v>
      </c>
      <c r="C42" s="157">
        <f t="shared" si="0"/>
        <v>45104</v>
      </c>
      <c r="S42" s="147"/>
    </row>
    <row r="43" spans="1:22" x14ac:dyDescent="0.2">
      <c r="A43" s="72" t="s">
        <v>38</v>
      </c>
      <c r="B43" s="82">
        <f>+(((B42-B47)/B47))</f>
        <v>6.9999224024210438E-2</v>
      </c>
      <c r="C43" s="154">
        <f t="shared" si="0"/>
        <v>2.3976496751483167E-2</v>
      </c>
      <c r="S43" s="147"/>
    </row>
    <row r="44" spans="1:22" x14ac:dyDescent="0.2">
      <c r="A44" s="72" t="s">
        <v>20</v>
      </c>
      <c r="B44" s="55">
        <v>77700</v>
      </c>
      <c r="C44" s="157">
        <f t="shared" si="0"/>
        <v>3700</v>
      </c>
      <c r="S44" s="147"/>
    </row>
    <row r="45" spans="1:22" x14ac:dyDescent="0.2">
      <c r="A45" s="72" t="s">
        <v>39</v>
      </c>
      <c r="B45" s="55">
        <v>3242</v>
      </c>
      <c r="C45" s="157">
        <f t="shared" si="0"/>
        <v>865</v>
      </c>
      <c r="S45" s="147"/>
    </row>
    <row r="46" spans="1:22" x14ac:dyDescent="0.2">
      <c r="A46" s="72"/>
      <c r="B46" s="72">
        <v>2015</v>
      </c>
      <c r="C46" s="157"/>
      <c r="S46" s="147"/>
    </row>
    <row r="47" spans="1:22" x14ac:dyDescent="0.2">
      <c r="A47" s="72" t="s">
        <v>40</v>
      </c>
      <c r="B47" s="55">
        <v>644350</v>
      </c>
      <c r="C47" s="157">
        <f t="shared" si="0"/>
        <v>28350</v>
      </c>
      <c r="S47" s="147"/>
    </row>
    <row r="48" spans="1:22" x14ac:dyDescent="0.2">
      <c r="A48" s="72" t="s">
        <v>38</v>
      </c>
      <c r="B48" s="82">
        <f>+(((B47-B52)/B52))</f>
        <v>4.6022727272727271E-2</v>
      </c>
      <c r="C48" s="154">
        <f t="shared" si="0"/>
        <v>1.0693769758655242E-3</v>
      </c>
      <c r="S48" s="147"/>
    </row>
    <row r="49" spans="1:19" x14ac:dyDescent="0.2">
      <c r="A49" s="72" t="s">
        <v>20</v>
      </c>
      <c r="B49" s="55">
        <v>74000</v>
      </c>
      <c r="C49" s="157">
        <f t="shared" si="0"/>
        <v>2000</v>
      </c>
      <c r="S49" s="147"/>
    </row>
    <row r="50" spans="1:19" x14ac:dyDescent="0.2">
      <c r="A50" s="72" t="s">
        <v>39</v>
      </c>
      <c r="B50" s="55">
        <v>2377</v>
      </c>
      <c r="C50" s="157">
        <f t="shared" si="0"/>
        <v>427</v>
      </c>
      <c r="S50" s="147"/>
    </row>
    <row r="51" spans="1:19" x14ac:dyDescent="0.2">
      <c r="A51" s="72"/>
      <c r="B51" s="72">
        <v>2014</v>
      </c>
      <c r="C51" s="157"/>
      <c r="S51" s="147"/>
    </row>
    <row r="52" spans="1:19" x14ac:dyDescent="0.2">
      <c r="A52" s="72" t="s">
        <v>40</v>
      </c>
      <c r="B52" s="55">
        <v>616000</v>
      </c>
      <c r="C52" s="157">
        <f t="shared" si="0"/>
        <v>26500</v>
      </c>
      <c r="S52" s="147"/>
    </row>
    <row r="53" spans="1:19" x14ac:dyDescent="0.2">
      <c r="A53" s="72" t="s">
        <v>38</v>
      </c>
      <c r="B53" s="82">
        <f>+(((B52-B57)/B57))</f>
        <v>4.4953350296861747E-2</v>
      </c>
      <c r="C53" s="154">
        <f t="shared" si="0"/>
        <v>4.7533502968617469E-3</v>
      </c>
      <c r="S53" s="147"/>
    </row>
    <row r="54" spans="1:19" x14ac:dyDescent="0.2">
      <c r="A54" s="72" t="s">
        <v>20</v>
      </c>
      <c r="B54" s="55">
        <v>72000</v>
      </c>
      <c r="C54" s="157">
        <f t="shared" si="0"/>
        <v>1500</v>
      </c>
      <c r="S54" s="147"/>
    </row>
    <row r="55" spans="1:19" x14ac:dyDescent="0.2">
      <c r="A55" s="72" t="s">
        <v>39</v>
      </c>
      <c r="B55" s="55">
        <v>1950</v>
      </c>
      <c r="C55" s="157">
        <f t="shared" si="0"/>
        <v>185</v>
      </c>
      <c r="S55" s="147"/>
    </row>
    <row r="56" spans="1:19" x14ac:dyDescent="0.2">
      <c r="A56" s="72"/>
      <c r="B56" s="72">
        <v>2013</v>
      </c>
      <c r="C56" s="157"/>
      <c r="S56" s="147"/>
    </row>
    <row r="57" spans="1:19" x14ac:dyDescent="0.2">
      <c r="A57" s="72" t="s">
        <v>40</v>
      </c>
      <c r="B57" s="55">
        <v>589500</v>
      </c>
      <c r="C57" s="157">
        <f t="shared" si="0"/>
        <v>22800</v>
      </c>
      <c r="S57" s="147"/>
    </row>
    <row r="58" spans="1:19" x14ac:dyDescent="0.2">
      <c r="A58" s="72" t="s">
        <v>38</v>
      </c>
      <c r="B58" s="56">
        <v>4.02E-2</v>
      </c>
      <c r="C58" s="154">
        <f t="shared" si="0"/>
        <v>-1.7800000000000003E-2</v>
      </c>
      <c r="S58" s="147"/>
    </row>
    <row r="59" spans="1:19" x14ac:dyDescent="0.2">
      <c r="A59" s="72" t="s">
        <v>20</v>
      </c>
      <c r="B59" s="55">
        <v>70500</v>
      </c>
      <c r="C59" s="157">
        <f t="shared" si="0"/>
        <v>2700</v>
      </c>
      <c r="S59" s="147"/>
    </row>
    <row r="60" spans="1:19" x14ac:dyDescent="0.2">
      <c r="A60" s="72" t="s">
        <v>39</v>
      </c>
      <c r="B60" s="55">
        <v>1765</v>
      </c>
      <c r="C60" s="157">
        <f t="shared" si="0"/>
        <v>-156</v>
      </c>
      <c r="S60" s="147"/>
    </row>
    <row r="61" spans="1:19" x14ac:dyDescent="0.2">
      <c r="A61" s="72"/>
      <c r="B61" s="72">
        <v>2012</v>
      </c>
      <c r="C61" s="157"/>
      <c r="S61" s="147"/>
    </row>
    <row r="62" spans="1:19" x14ac:dyDescent="0.2">
      <c r="A62" s="72" t="s">
        <v>40</v>
      </c>
      <c r="B62" s="55">
        <v>566700</v>
      </c>
      <c r="C62" s="157">
        <f t="shared" si="0"/>
        <v>31100</v>
      </c>
      <c r="S62" s="147"/>
    </row>
    <row r="63" spans="1:19" x14ac:dyDescent="0.2">
      <c r="A63" s="72" t="s">
        <v>38</v>
      </c>
      <c r="B63" s="56">
        <v>5.8000000000000003E-2</v>
      </c>
      <c r="C63" s="154">
        <f t="shared" si="0"/>
        <v>1.8000000000000002E-2</v>
      </c>
      <c r="S63" s="147"/>
    </row>
    <row r="64" spans="1:19" x14ac:dyDescent="0.2">
      <c r="A64" s="72" t="s">
        <v>20</v>
      </c>
      <c r="B64" s="55">
        <v>67800</v>
      </c>
      <c r="C64" s="157">
        <f t="shared" si="0"/>
        <v>4200</v>
      </c>
      <c r="S64" s="147"/>
    </row>
    <row r="65" spans="1:19" x14ac:dyDescent="0.2">
      <c r="A65" s="72" t="s">
        <v>39</v>
      </c>
      <c r="B65" s="55">
        <v>1921</v>
      </c>
      <c r="C65" s="157">
        <f t="shared" si="0"/>
        <v>-79</v>
      </c>
      <c r="S65" s="147"/>
    </row>
    <row r="66" spans="1:19" x14ac:dyDescent="0.2">
      <c r="A66" s="72"/>
      <c r="B66" s="72">
        <v>2011</v>
      </c>
      <c r="C66" s="157"/>
      <c r="S66" s="147"/>
    </row>
    <row r="67" spans="1:19" x14ac:dyDescent="0.2">
      <c r="A67" s="72" t="s">
        <v>40</v>
      </c>
      <c r="B67" s="55">
        <v>535600</v>
      </c>
      <c r="C67" s="157">
        <f t="shared" si="0"/>
        <v>20600</v>
      </c>
      <c r="S67" s="147"/>
    </row>
    <row r="68" spans="1:19" x14ac:dyDescent="0.2">
      <c r="A68" s="72" t="s">
        <v>38</v>
      </c>
      <c r="B68" s="56">
        <v>0.04</v>
      </c>
      <c r="C68" s="154">
        <f t="shared" si="0"/>
        <v>3.599999999999999E-3</v>
      </c>
      <c r="S68" s="147"/>
    </row>
    <row r="69" spans="1:19" x14ac:dyDescent="0.2">
      <c r="A69" s="72" t="s">
        <v>20</v>
      </c>
      <c r="B69" s="55">
        <v>63600</v>
      </c>
      <c r="C69" s="157">
        <f t="shared" si="0"/>
        <v>2100</v>
      </c>
      <c r="S69" s="147"/>
    </row>
    <row r="70" spans="1:19" x14ac:dyDescent="0.2">
      <c r="A70" s="72" t="s">
        <v>39</v>
      </c>
      <c r="B70" s="55">
        <v>2000</v>
      </c>
      <c r="C70" s="157">
        <f t="shared" si="0"/>
        <v>-13</v>
      </c>
      <c r="S70" s="147"/>
    </row>
    <row r="71" spans="1:19" x14ac:dyDescent="0.2">
      <c r="A71" s="72"/>
      <c r="B71" s="72">
        <v>2010</v>
      </c>
      <c r="C71" s="157"/>
      <c r="S71" s="147"/>
    </row>
    <row r="72" spans="1:19" x14ac:dyDescent="0.2">
      <c r="A72" s="72" t="s">
        <v>40</v>
      </c>
      <c r="B72" s="55">
        <v>515000</v>
      </c>
      <c r="C72" s="157">
        <f t="shared" si="0"/>
        <v>18000</v>
      </c>
      <c r="S72" s="147"/>
    </row>
    <row r="73" spans="1:19" x14ac:dyDescent="0.2">
      <c r="A73" s="72" t="s">
        <v>38</v>
      </c>
      <c r="B73" s="56">
        <v>3.6400000000000002E-2</v>
      </c>
      <c r="C73" s="154">
        <f t="shared" si="0"/>
        <v>-4.0300000000000002E-2</v>
      </c>
      <c r="S73" s="147"/>
    </row>
    <row r="74" spans="1:19" x14ac:dyDescent="0.2">
      <c r="A74" s="72" t="s">
        <v>20</v>
      </c>
      <c r="B74" s="55">
        <v>61500</v>
      </c>
      <c r="C74" s="157">
        <f t="shared" si="0"/>
        <v>2200</v>
      </c>
      <c r="S74" s="147"/>
    </row>
    <row r="75" spans="1:19" x14ac:dyDescent="0.2">
      <c r="A75" s="72" t="s">
        <v>39</v>
      </c>
      <c r="B75" s="55">
        <v>2013</v>
      </c>
      <c r="C75" s="157">
        <f t="shared" si="0"/>
        <v>-221</v>
      </c>
      <c r="S75" s="147"/>
    </row>
    <row r="76" spans="1:19" x14ac:dyDescent="0.2">
      <c r="A76" s="72"/>
      <c r="B76" s="72">
        <v>2009</v>
      </c>
      <c r="C76" s="157"/>
      <c r="S76" s="147"/>
    </row>
    <row r="77" spans="1:19" x14ac:dyDescent="0.2">
      <c r="A77" s="72" t="s">
        <v>40</v>
      </c>
      <c r="B77" s="55">
        <v>497000</v>
      </c>
      <c r="C77" s="157">
        <f t="shared" si="0"/>
        <v>35500</v>
      </c>
      <c r="S77" s="147"/>
    </row>
    <row r="78" spans="1:19" x14ac:dyDescent="0.2">
      <c r="A78" s="72" t="s">
        <v>38</v>
      </c>
      <c r="B78" s="56">
        <v>7.6700000000000004E-2</v>
      </c>
      <c r="C78" s="154">
        <f t="shared" si="0"/>
        <v>1.26E-2</v>
      </c>
      <c r="S78" s="147"/>
    </row>
    <row r="79" spans="1:19" x14ac:dyDescent="0.2">
      <c r="A79" s="72" t="s">
        <v>20</v>
      </c>
      <c r="B79" s="55">
        <v>59300</v>
      </c>
      <c r="C79" s="157">
        <f t="shared" si="0"/>
        <v>4300</v>
      </c>
      <c r="S79" s="147"/>
    </row>
    <row r="80" spans="1:19" x14ac:dyDescent="0.2">
      <c r="A80" s="72" t="s">
        <v>39</v>
      </c>
      <c r="B80" s="55">
        <v>2234</v>
      </c>
      <c r="C80" s="157">
        <f t="shared" si="0"/>
        <v>266</v>
      </c>
      <c r="S80" s="147"/>
    </row>
    <row r="81" spans="1:19" x14ac:dyDescent="0.2">
      <c r="A81" s="72"/>
      <c r="B81" s="72">
        <v>2008</v>
      </c>
      <c r="C81" s="157"/>
      <c r="S81" s="147"/>
    </row>
    <row r="82" spans="1:19" x14ac:dyDescent="0.2">
      <c r="A82" s="72" t="s">
        <v>40</v>
      </c>
      <c r="B82" s="55">
        <v>461500</v>
      </c>
      <c r="C82" s="157">
        <f t="shared" si="0"/>
        <v>27800</v>
      </c>
      <c r="S82" s="147"/>
    </row>
    <row r="83" spans="1:19" x14ac:dyDescent="0.2">
      <c r="A83" s="72" t="s">
        <v>38</v>
      </c>
      <c r="B83" s="56">
        <v>6.4100000000000004E-2</v>
      </c>
      <c r="C83" s="154">
        <f t="shared" si="0"/>
        <v>1.1098039215686334E-3</v>
      </c>
      <c r="S83" s="147"/>
    </row>
    <row r="84" spans="1:19" x14ac:dyDescent="0.2">
      <c r="A84" s="72" t="s">
        <v>20</v>
      </c>
      <c r="B84" s="55">
        <v>55000</v>
      </c>
      <c r="C84" s="157">
        <f t="shared" si="0"/>
        <v>4200</v>
      </c>
      <c r="S84" s="147"/>
    </row>
    <row r="85" spans="1:19" x14ac:dyDescent="0.2">
      <c r="A85" s="72" t="s">
        <v>39</v>
      </c>
      <c r="B85" s="55">
        <v>1968</v>
      </c>
      <c r="C85" s="157">
        <f t="shared" ref="C85:C115" si="1">B85-B90</f>
        <v>-270.78999999999996</v>
      </c>
      <c r="S85" s="147"/>
    </row>
    <row r="86" spans="1:19" x14ac:dyDescent="0.2">
      <c r="A86" s="72"/>
      <c r="B86" s="72">
        <v>2007</v>
      </c>
      <c r="C86" s="157"/>
      <c r="S86" s="147"/>
    </row>
    <row r="87" spans="1:19" x14ac:dyDescent="0.2">
      <c r="A87" s="72" t="s">
        <v>40</v>
      </c>
      <c r="B87" s="55">
        <v>433700</v>
      </c>
      <c r="C87" s="157">
        <f t="shared" si="1"/>
        <v>25700</v>
      </c>
      <c r="S87" s="147"/>
    </row>
    <row r="88" spans="1:19" x14ac:dyDescent="0.2">
      <c r="A88" s="72" t="s">
        <v>38</v>
      </c>
      <c r="B88" s="56">
        <f>(B87-B92)/B92</f>
        <v>6.2990196078431371E-2</v>
      </c>
      <c r="C88" s="154">
        <f t="shared" si="1"/>
        <v>-6.4724513658673821E-3</v>
      </c>
      <c r="S88" s="147"/>
    </row>
    <row r="89" spans="1:19" x14ac:dyDescent="0.2">
      <c r="A89" s="72" t="s">
        <v>20</v>
      </c>
      <c r="B89" s="55">
        <v>50800</v>
      </c>
      <c r="C89" s="157">
        <f t="shared" si="1"/>
        <v>3100</v>
      </c>
      <c r="S89" s="147"/>
    </row>
    <row r="90" spans="1:19" x14ac:dyDescent="0.2">
      <c r="A90" s="72" t="s">
        <v>39</v>
      </c>
      <c r="B90" s="55">
        <v>2238.79</v>
      </c>
      <c r="C90" s="157">
        <f t="shared" si="1"/>
        <v>238.78999999999996</v>
      </c>
      <c r="S90" s="147"/>
    </row>
    <row r="91" spans="1:19" x14ac:dyDescent="0.2">
      <c r="A91" s="72"/>
      <c r="B91" s="72">
        <v>2006</v>
      </c>
      <c r="C91" s="157"/>
      <c r="S91" s="147"/>
    </row>
    <row r="92" spans="1:19" x14ac:dyDescent="0.2">
      <c r="A92" s="72" t="s">
        <v>40</v>
      </c>
      <c r="B92" s="55">
        <v>408000</v>
      </c>
      <c r="C92" s="157">
        <f t="shared" si="1"/>
        <v>26500</v>
      </c>
      <c r="S92" s="147"/>
    </row>
    <row r="93" spans="1:19" x14ac:dyDescent="0.2">
      <c r="A93" s="72" t="s">
        <v>38</v>
      </c>
      <c r="B93" s="56">
        <f>(B92/B97-1)</f>
        <v>6.9462647444298753E-2</v>
      </c>
      <c r="C93" s="154">
        <f t="shared" si="1"/>
        <v>3.8201893437401768E-3</v>
      </c>
      <c r="S93" s="147"/>
    </row>
    <row r="94" spans="1:19" x14ac:dyDescent="0.2">
      <c r="A94" s="72" t="s">
        <v>20</v>
      </c>
      <c r="B94" s="55">
        <v>47700</v>
      </c>
      <c r="C94" s="157">
        <f t="shared" si="1"/>
        <v>3200</v>
      </c>
      <c r="S94" s="147"/>
    </row>
    <row r="95" spans="1:19" x14ac:dyDescent="0.2">
      <c r="A95" s="72" t="s">
        <v>39</v>
      </c>
      <c r="B95" s="55">
        <v>2000</v>
      </c>
      <c r="C95" s="157">
        <f t="shared" si="1"/>
        <v>-319</v>
      </c>
      <c r="S95" s="147"/>
    </row>
    <row r="96" spans="1:19" x14ac:dyDescent="0.2">
      <c r="A96" s="72"/>
      <c r="B96" s="72">
        <v>2005</v>
      </c>
      <c r="C96" s="157"/>
      <c r="S96" s="147"/>
    </row>
    <row r="97" spans="1:19" x14ac:dyDescent="0.2">
      <c r="A97" s="72" t="s">
        <v>40</v>
      </c>
      <c r="B97" s="55">
        <v>381500</v>
      </c>
      <c r="C97" s="157">
        <f t="shared" si="1"/>
        <v>23500</v>
      </c>
      <c r="S97" s="147"/>
    </row>
    <row r="98" spans="1:19" x14ac:dyDescent="0.2">
      <c r="A98" s="72" t="s">
        <v>38</v>
      </c>
      <c r="B98" s="56">
        <f>(B97/B102-1)</f>
        <v>6.5642458100558576E-2</v>
      </c>
      <c r="C98" s="154">
        <f t="shared" si="1"/>
        <v>-1.2703275204661413E-2</v>
      </c>
      <c r="S98" s="147"/>
    </row>
    <row r="99" spans="1:19" x14ac:dyDescent="0.2">
      <c r="A99" s="72" t="s">
        <v>20</v>
      </c>
      <c r="B99" s="55">
        <v>44500</v>
      </c>
      <c r="C99" s="157">
        <f t="shared" si="1"/>
        <v>44500</v>
      </c>
      <c r="S99" s="147"/>
    </row>
    <row r="100" spans="1:19" x14ac:dyDescent="0.2">
      <c r="A100" s="72" t="s">
        <v>39</v>
      </c>
      <c r="B100" s="55">
        <v>2319</v>
      </c>
      <c r="C100" s="157">
        <f t="shared" si="1"/>
        <v>2319</v>
      </c>
    </row>
    <row r="101" spans="1:19" x14ac:dyDescent="0.2">
      <c r="A101" s="72"/>
      <c r="B101" s="72">
        <v>2004</v>
      </c>
      <c r="C101" s="157"/>
    </row>
    <row r="102" spans="1:19" x14ac:dyDescent="0.2">
      <c r="A102" s="72" t="s">
        <v>40</v>
      </c>
      <c r="B102" s="55">
        <v>358000</v>
      </c>
      <c r="C102" s="157">
        <f t="shared" si="1"/>
        <v>26010</v>
      </c>
    </row>
    <row r="103" spans="1:19" x14ac:dyDescent="0.2">
      <c r="A103" s="72" t="s">
        <v>38</v>
      </c>
      <c r="B103" s="56">
        <f>(B102/B107-1)</f>
        <v>7.8345733305219989E-2</v>
      </c>
      <c r="C103" s="154">
        <f t="shared" si="1"/>
        <v>3.9444388068381464E-3</v>
      </c>
    </row>
    <row r="104" spans="1:19" x14ac:dyDescent="0.2">
      <c r="A104" s="72" t="s">
        <v>20</v>
      </c>
      <c r="B104" s="52"/>
      <c r="C104" s="157">
        <f t="shared" si="1"/>
        <v>0</v>
      </c>
    </row>
    <row r="105" spans="1:19" x14ac:dyDescent="0.2">
      <c r="A105" s="72" t="s">
        <v>39</v>
      </c>
      <c r="B105" s="52"/>
      <c r="C105" s="157">
        <f t="shared" si="1"/>
        <v>0</v>
      </c>
    </row>
    <row r="106" spans="1:19" x14ac:dyDescent="0.2">
      <c r="A106" s="72"/>
      <c r="B106" s="72">
        <v>2003</v>
      </c>
      <c r="C106" s="157"/>
    </row>
    <row r="107" spans="1:19" x14ac:dyDescent="0.2">
      <c r="A107" s="72" t="s">
        <v>40</v>
      </c>
      <c r="B107" s="55">
        <v>331990</v>
      </c>
      <c r="C107" s="157">
        <f t="shared" si="1"/>
        <v>22990</v>
      </c>
    </row>
    <row r="108" spans="1:19" x14ac:dyDescent="0.2">
      <c r="A108" s="72" t="s">
        <v>38</v>
      </c>
      <c r="B108" s="56">
        <f>(B107/B112-1)</f>
        <v>7.4401294498381843E-2</v>
      </c>
      <c r="C108" s="154">
        <f t="shared" si="1"/>
        <v>7.4401294498381843E-2</v>
      </c>
    </row>
    <row r="109" spans="1:19" x14ac:dyDescent="0.2">
      <c r="A109" s="72" t="s">
        <v>20</v>
      </c>
      <c r="B109" s="54"/>
      <c r="C109" s="157">
        <f t="shared" si="1"/>
        <v>0</v>
      </c>
    </row>
    <row r="110" spans="1:19" x14ac:dyDescent="0.2">
      <c r="A110" s="72" t="s">
        <v>39</v>
      </c>
      <c r="B110" s="54"/>
      <c r="C110" s="157">
        <f t="shared" si="1"/>
        <v>0</v>
      </c>
    </row>
    <row r="111" spans="1:19" x14ac:dyDescent="0.2">
      <c r="A111" s="72"/>
      <c r="B111" s="72">
        <v>2002</v>
      </c>
      <c r="C111" s="157"/>
    </row>
    <row r="112" spans="1:19" x14ac:dyDescent="0.2">
      <c r="A112" s="72" t="s">
        <v>40</v>
      </c>
      <c r="B112" s="55">
        <v>309000</v>
      </c>
      <c r="C112" s="157">
        <f t="shared" si="1"/>
        <v>309000</v>
      </c>
    </row>
    <row r="113" spans="1:3" x14ac:dyDescent="0.2">
      <c r="A113" s="72" t="s">
        <v>38</v>
      </c>
      <c r="B113" s="55"/>
      <c r="C113" s="154">
        <f t="shared" si="1"/>
        <v>0</v>
      </c>
    </row>
    <row r="114" spans="1:3" x14ac:dyDescent="0.2">
      <c r="A114" s="72" t="s">
        <v>20</v>
      </c>
      <c r="B114" s="55"/>
      <c r="C114" s="157">
        <f t="shared" si="1"/>
        <v>0</v>
      </c>
    </row>
    <row r="115" spans="1:3" x14ac:dyDescent="0.2">
      <c r="A115" s="72" t="s">
        <v>39</v>
      </c>
      <c r="B115" s="55"/>
      <c r="C115" s="157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workbookViewId="0">
      <selection activeCell="E7" sqref="E7"/>
    </sheetView>
  </sheetViews>
  <sheetFormatPr baseColWidth="10" defaultRowHeight="12.75" x14ac:dyDescent="0.2"/>
  <cols>
    <col min="2" max="2" width="37.42578125" bestFit="1" customWidth="1"/>
    <col min="3" max="3" width="19.7109375" bestFit="1" customWidth="1"/>
    <col min="4" max="4" width="18.28515625" bestFit="1" customWidth="1"/>
    <col min="7" max="7" width="18.28515625" bestFit="1" customWidth="1"/>
  </cols>
  <sheetData>
    <row r="1" spans="2:7" ht="13.5" thickBot="1" x14ac:dyDescent="0.25"/>
    <row r="2" spans="2:7" ht="18" x14ac:dyDescent="0.25">
      <c r="B2" s="36" t="s">
        <v>37</v>
      </c>
      <c r="C2" s="37" t="s">
        <v>0</v>
      </c>
      <c r="D2" s="97" t="s">
        <v>1</v>
      </c>
      <c r="E2" s="184" t="s">
        <v>53</v>
      </c>
      <c r="F2" s="185"/>
      <c r="G2" s="39" t="s">
        <v>1</v>
      </c>
    </row>
    <row r="3" spans="2:7" ht="18.75" thickBot="1" x14ac:dyDescent="0.3">
      <c r="B3" s="40"/>
      <c r="C3" s="26" t="s">
        <v>2</v>
      </c>
      <c r="D3" s="98" t="s">
        <v>4</v>
      </c>
      <c r="E3" s="100" t="s">
        <v>54</v>
      </c>
      <c r="F3" s="101"/>
      <c r="G3" s="41" t="s">
        <v>4</v>
      </c>
    </row>
    <row r="4" spans="2:7" ht="18" x14ac:dyDescent="0.25">
      <c r="B4" s="40"/>
      <c r="C4" s="27"/>
      <c r="D4" s="28" t="s">
        <v>56</v>
      </c>
      <c r="E4" s="99" t="s">
        <v>52</v>
      </c>
      <c r="F4" s="99" t="s">
        <v>51</v>
      </c>
      <c r="G4" s="42" t="s">
        <v>55</v>
      </c>
    </row>
    <row r="5" spans="2:7" ht="18" x14ac:dyDescent="0.25">
      <c r="B5" s="43" t="s">
        <v>3</v>
      </c>
      <c r="C5" s="30"/>
      <c r="D5" s="30"/>
      <c r="E5" s="102"/>
      <c r="F5" s="102"/>
      <c r="G5" s="105"/>
    </row>
    <row r="6" spans="2:7" ht="18" x14ac:dyDescent="0.25">
      <c r="B6" s="43"/>
      <c r="C6" s="30"/>
      <c r="D6" s="30"/>
      <c r="E6" s="102"/>
      <c r="F6" s="102"/>
      <c r="G6" s="105"/>
    </row>
    <row r="7" spans="2:7" ht="18" x14ac:dyDescent="0.25">
      <c r="B7" s="45">
        <v>1</v>
      </c>
      <c r="C7" s="31">
        <v>15</v>
      </c>
      <c r="D7" s="59">
        <v>14</v>
      </c>
      <c r="E7" s="103">
        <v>1.5</v>
      </c>
      <c r="F7" s="103">
        <v>1.5</v>
      </c>
      <c r="G7" s="106">
        <f>CEILING(D7*F7,1)</f>
        <v>21</v>
      </c>
    </row>
    <row r="8" spans="2:7" ht="18" x14ac:dyDescent="0.25">
      <c r="B8" s="46">
        <v>2</v>
      </c>
      <c r="C8" s="33">
        <v>11</v>
      </c>
      <c r="D8" s="59">
        <v>12</v>
      </c>
      <c r="E8" s="103">
        <v>1.4</v>
      </c>
      <c r="F8" s="103">
        <v>1.4</v>
      </c>
      <c r="G8" s="106">
        <f>CEILING(D8*F8,1)</f>
        <v>17</v>
      </c>
    </row>
    <row r="9" spans="2:7" ht="18" x14ac:dyDescent="0.25">
      <c r="B9" s="46">
        <v>3</v>
      </c>
      <c r="C9" s="33">
        <v>8</v>
      </c>
      <c r="D9" s="59">
        <v>10</v>
      </c>
      <c r="E9" s="103">
        <v>1.3</v>
      </c>
      <c r="F9" s="103">
        <v>1.3</v>
      </c>
      <c r="G9" s="106">
        <f t="shared" ref="G9:G15" si="0">CEILING(D9*F9,1)</f>
        <v>13</v>
      </c>
    </row>
    <row r="10" spans="2:7" ht="18" x14ac:dyDescent="0.25">
      <c r="B10" s="46">
        <v>4</v>
      </c>
      <c r="C10" s="33">
        <v>6</v>
      </c>
      <c r="D10" s="59">
        <v>8</v>
      </c>
      <c r="E10" s="103">
        <v>1.2</v>
      </c>
      <c r="F10" s="103">
        <v>1.2</v>
      </c>
      <c r="G10" s="106">
        <f t="shared" si="0"/>
        <v>10</v>
      </c>
    </row>
    <row r="11" spans="2:7" ht="18" x14ac:dyDescent="0.25">
      <c r="B11" s="47">
        <v>5</v>
      </c>
      <c r="C11" s="34">
        <v>5</v>
      </c>
      <c r="D11" s="59">
        <v>7</v>
      </c>
      <c r="E11" s="103">
        <v>1.1000000000000001</v>
      </c>
      <c r="F11" s="103">
        <v>1.1000000000000001</v>
      </c>
      <c r="G11" s="106">
        <f t="shared" si="0"/>
        <v>8</v>
      </c>
    </row>
    <row r="12" spans="2:7" ht="18" x14ac:dyDescent="0.25">
      <c r="B12" s="46">
        <v>6</v>
      </c>
      <c r="C12" s="33">
        <v>3</v>
      </c>
      <c r="D12" s="59">
        <v>6</v>
      </c>
      <c r="E12" s="104">
        <v>1.1000000000000001</v>
      </c>
      <c r="F12" s="104">
        <v>1</v>
      </c>
      <c r="G12" s="106">
        <f t="shared" si="0"/>
        <v>6</v>
      </c>
    </row>
    <row r="13" spans="2:7" ht="18" x14ac:dyDescent="0.25">
      <c r="B13" s="47">
        <v>7</v>
      </c>
      <c r="C13" s="34">
        <v>2</v>
      </c>
      <c r="D13" s="59">
        <v>4</v>
      </c>
      <c r="E13" s="104">
        <v>1</v>
      </c>
      <c r="F13" s="104">
        <v>1</v>
      </c>
      <c r="G13" s="106">
        <f t="shared" si="0"/>
        <v>4</v>
      </c>
    </row>
    <row r="14" spans="2:7" ht="18" x14ac:dyDescent="0.25">
      <c r="B14" s="46">
        <v>8</v>
      </c>
      <c r="C14" s="33">
        <v>0</v>
      </c>
      <c r="D14" s="59">
        <v>3</v>
      </c>
      <c r="E14" s="104">
        <v>1</v>
      </c>
      <c r="F14" s="104">
        <v>1</v>
      </c>
      <c r="G14" s="106">
        <f t="shared" si="0"/>
        <v>3</v>
      </c>
    </row>
    <row r="15" spans="2:7" ht="18" x14ac:dyDescent="0.25">
      <c r="B15" s="47" t="s">
        <v>36</v>
      </c>
      <c r="C15" s="35"/>
      <c r="D15" s="59">
        <v>2</v>
      </c>
      <c r="E15" s="104">
        <v>1</v>
      </c>
      <c r="F15" s="104">
        <v>1</v>
      </c>
      <c r="G15" s="106">
        <f t="shared" si="0"/>
        <v>2</v>
      </c>
    </row>
    <row r="16" spans="2:7" ht="13.5" thickBot="1" x14ac:dyDescent="0.25">
      <c r="B16" s="107" t="s">
        <v>57</v>
      </c>
      <c r="C16" s="108" t="s">
        <v>57</v>
      </c>
      <c r="D16" s="108" t="s">
        <v>58</v>
      </c>
      <c r="E16" s="108" t="s">
        <v>59</v>
      </c>
      <c r="F16" s="108"/>
      <c r="G16" s="109"/>
    </row>
  </sheetData>
  <mergeCells count="1">
    <mergeCell ref="E2:F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PERSONAL</vt:lpstr>
      <vt:lpstr>VALOR POR DIA</vt:lpstr>
      <vt:lpstr>SMMLV</vt:lpstr>
      <vt:lpstr>FMxRespnsbld</vt:lpstr>
      <vt:lpstr>PERSONAL!Área_de_impresión</vt:lpstr>
    </vt:vector>
  </TitlesOfParts>
  <Company>GERS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Aragon Rangel</dc:creator>
  <cp:lastModifiedBy>alba.naranjo</cp:lastModifiedBy>
  <cp:lastPrinted>2007-01-03T15:29:34Z</cp:lastPrinted>
  <dcterms:created xsi:type="dcterms:W3CDTF">2000-12-12T13:11:53Z</dcterms:created>
  <dcterms:modified xsi:type="dcterms:W3CDTF">2024-01-12T12:56:10Z</dcterms:modified>
</cp:coreProperties>
</file>